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greenmountainpower-my.sharepoint.com/personal/kamran_hassan_greenmountainpower_com/Documents/Desktop/"/>
    </mc:Choice>
  </mc:AlternateContent>
  <xr:revisionPtr revIDLastSave="0" documentId="8_{A6F7D634-F293-429C-8036-98E7FF5C8B5B}" xr6:coauthVersionLast="47" xr6:coauthVersionMax="47" xr10:uidLastSave="{00000000-0000-0000-0000-000000000000}"/>
  <bookViews>
    <workbookView xWindow="-120" yWindow="-120" windowWidth="29040" windowHeight="17520" tabRatio="796" xr2:uid="{00000000-000D-0000-FFFF-FFFF00000000}"/>
  </bookViews>
  <sheets>
    <sheet name="New&amp;Updated Projects VSPC 2026 " sheetId="4" r:id="rId1"/>
    <sheet name="Previously Reviewed" sheetId="52" r:id="rId2"/>
    <sheet name="Taftsville" sheetId="90" r:id="rId3"/>
    <sheet name="N. Springfield" sheetId="91" r:id="rId4"/>
    <sheet name="Georgia" sheetId="88" r:id="rId5"/>
    <sheet name="Welden St" sheetId="89" r:id="rId6"/>
    <sheet name="Montpelier #3" sheetId="87" r:id="rId7"/>
    <sheet name="Berlin GT" sheetId="76" r:id="rId8"/>
    <sheet name="Middlesex" sheetId="77" r:id="rId9"/>
    <sheet name="Bolton 41" sheetId="84" r:id="rId10"/>
    <sheet name="East Arlington" sheetId="78" r:id="rId11"/>
    <sheet name="West Dummerston" sheetId="79" r:id="rId12"/>
    <sheet name="North Rutland" sheetId="80" r:id="rId13"/>
    <sheet name="Fairfax" sheetId="86" r:id="rId14"/>
    <sheet name="Killington Area" sheetId="81" r:id="rId15"/>
    <sheet name="Beta Subtation" sheetId="85" r:id="rId16"/>
    <sheet name="Line 60 Reconfig" sheetId="82" r:id="rId17"/>
    <sheet name="Pleasant Street Sub" sheetId="56" r:id="rId18"/>
    <sheet name="Ascutney" sheetId="74" r:id="rId19"/>
    <sheet name="Londonderry" sheetId="73" r:id="rId20"/>
    <sheet name="Legare" sheetId="72" r:id="rId21"/>
    <sheet name="Berlin" sheetId="71" r:id="rId22"/>
    <sheet name="Hinesburg" sheetId="8" r:id="rId23"/>
    <sheet name="Waterford 65J1" sheetId="43" r:id="rId24"/>
    <sheet name="Moretown" sheetId="36" r:id="rId25"/>
    <sheet name="Danby" sheetId="20" r:id="rId26"/>
    <sheet name="Putney Conversion" sheetId="51" r:id="rId27"/>
    <sheet name="Dover Sub" sheetId="55" r:id="rId28"/>
    <sheet name="Newbury Sub" sheetId="54" r:id="rId29"/>
    <sheet name="Carvers Falls Sub" sheetId="60" r:id="rId30"/>
    <sheet name="East Ryegate Tran Sub" sheetId="59" r:id="rId31"/>
    <sheet name="Irasville Tran Sub" sheetId="58" r:id="rId32"/>
    <sheet name="Richmond Tran Sub" sheetId="64" r:id="rId33"/>
    <sheet name="Smithville Cap" sheetId="63" r:id="rId34"/>
    <sheet name="Highbridge Substation" sheetId="53" r:id="rId35"/>
    <sheet name="Tafts-Windsor" sheetId="62" r:id="rId36"/>
    <sheet name="Maple Ave to Charlestown" sheetId="61" r:id="rId37"/>
    <sheet name="Johnson to Lowell" sheetId="67" r:id="rId38"/>
    <sheet name="Tower Line to Sand Road" sheetId="66" r:id="rId39"/>
    <sheet name="Mountain View to Berlin" sheetId="65" r:id="rId40"/>
    <sheet name="Hydeville-Fairhaven" sheetId="40" r:id="rId41"/>
    <sheet name="McNeil-Gorge" sheetId="38" r:id="rId42"/>
    <sheet name="North St. Albans to Sheldon" sheetId="50" r:id="rId43"/>
    <sheet name="Wilder" sheetId="25" r:id="rId44"/>
    <sheet name="Mill Street" sheetId="27" r:id="rId45"/>
    <sheet name="St. Albans" sheetId="10" r:id="rId46"/>
    <sheet name="Milton" sheetId="14" r:id="rId47"/>
    <sheet name="Windsor" sheetId="23" r:id="rId48"/>
    <sheet name="Brattleboro" sheetId="11" r:id="rId49"/>
    <sheet name="Southern Loop" sheetId="9" r:id="rId50"/>
    <sheet name="Chittenden County" sheetId="3" r:id="rId51"/>
    <sheet name="Dover - Haystack" sheetId="13" r:id="rId52"/>
    <sheet name="West Rutland-Castleton" sheetId="37" r:id="rId53"/>
    <sheet name="Castleton" sheetId="75" r:id="rId54"/>
    <sheet name="North Brattleboro" sheetId="26" r:id="rId55"/>
    <sheet name="Lowell" sheetId="28" r:id="rId56"/>
    <sheet name="E St Albans Capacitors" sheetId="57" r:id="rId57"/>
    <sheet name="Airport" sheetId="24" r:id="rId58"/>
    <sheet name="Websterville Sub" sheetId="39" r:id="rId59"/>
    <sheet name="Rutland" sheetId="19" r:id="rId60"/>
    <sheet name="Barre" sheetId="29" r:id="rId61"/>
    <sheet name="Cambridge Sub" sheetId="32" r:id="rId62"/>
    <sheet name="South Poultney" sheetId="31" r:id="rId63"/>
    <sheet name="Bethel Line 107" sheetId="49" r:id="rId64"/>
    <sheet name="Nason-Weldon" sheetId="42" r:id="rId65"/>
    <sheet name="Susie Wilson" sheetId="1" r:id="rId66"/>
    <sheet name="Waterbury" sheetId="6" r:id="rId67"/>
    <sheet name="WRJ" sheetId="5" r:id="rId68"/>
    <sheet name="Winooski 16Y3" sheetId="7" r:id="rId69"/>
    <sheet name="Stratton" sheetId="12" r:id="rId70"/>
    <sheet name="Granite-Wetmore" sheetId="46" r:id="rId71"/>
    <sheet name="South Brattleboro" sheetId="45" r:id="rId72"/>
    <sheet name="Sharon" sheetId="33" r:id="rId73"/>
    <sheet name="Highbridge to Maple" sheetId="30" r:id="rId74"/>
    <sheet name="Misc Data" sheetId="15" r:id="rId75"/>
    <sheet name="Phase 1 Template" sheetId="16" r:id="rId76"/>
    <sheet name="Phase 2 Template" sheetId="2" r:id="rId77"/>
    <sheet name="7081 Screening Form" sheetId="47" r:id="rId78"/>
    <sheet name="DUP Screening Form" sheetId="68" r:id="rId79"/>
  </sheets>
  <externalReferences>
    <externalReference r:id="rId80"/>
    <externalReference r:id="rId81"/>
  </externalReferences>
  <definedNames>
    <definedName name="_GoBack" localSheetId="1">'Previously Reviewed'!$I$26</definedName>
    <definedName name="_xlnm.Print_Area" localSheetId="18">Ascutney!$A$1:$C$33</definedName>
    <definedName name="_xlnm.Print_Area" localSheetId="7">'Berlin GT'!$A$1:$C$33</definedName>
    <definedName name="_xlnm.Print_Area" localSheetId="15">'Beta Subtation'!$A$1:$C$33</definedName>
    <definedName name="_xlnm.Print_Area" localSheetId="9">'Bolton 41'!$A$1:$C$33</definedName>
    <definedName name="_xlnm.Print_Area" localSheetId="48">Brattleboro!$A$1:$C$33</definedName>
    <definedName name="_xlnm.Print_Area" localSheetId="29">'Carvers Falls Sub'!$A$1:$C$32</definedName>
    <definedName name="_xlnm.Print_Area" localSheetId="25">Danby!$A$1:$C$33</definedName>
    <definedName name="_xlnm.Print_Area" localSheetId="27">'Dover Sub'!$A$1:$C$32</definedName>
    <definedName name="_xlnm.Print_Area" localSheetId="56">'E St Albans Capacitors'!$A$1:$C$32</definedName>
    <definedName name="_xlnm.Print_Area" localSheetId="10">'East Arlington'!$A$1:$C$33</definedName>
    <definedName name="_xlnm.Print_Area" localSheetId="30">'East Ryegate Tran Sub'!$A$1:$C$32</definedName>
    <definedName name="_xlnm.Print_Area" localSheetId="13">Fairfax!$A$1:$C$33</definedName>
    <definedName name="_xlnm.Print_Area" localSheetId="4">Georgia!$A$1:$C$32</definedName>
    <definedName name="_xlnm.Print_Area" localSheetId="34">'Highbridge Substation'!$A$1:$C$32</definedName>
    <definedName name="_xlnm.Print_Area" localSheetId="31">'Irasville Tran Sub'!$A$1:$C$32</definedName>
    <definedName name="_xlnm.Print_Area" localSheetId="37">'Johnson to Lowell'!$A$1:$C$32</definedName>
    <definedName name="_xlnm.Print_Area" localSheetId="14">'Killington Area'!$A$1:$C$34</definedName>
    <definedName name="_xlnm.Print_Area" localSheetId="16">'Line 60 Reconfig'!$A$1:$C$33</definedName>
    <definedName name="_xlnm.Print_Area" localSheetId="19">Londonderry!$A$1:$C$33</definedName>
    <definedName name="_xlnm.Print_Area" localSheetId="36">'Maple Ave to Charlestown'!$A$1:$C$32</definedName>
    <definedName name="_xlnm.Print_Area" localSheetId="8">Middlesex!$A$1:$C$33</definedName>
    <definedName name="_xlnm.Print_Area" localSheetId="46">Milton!$A$1:$C$31</definedName>
    <definedName name="_xlnm.Print_Area" localSheetId="6">'Montpelier #3'!$A$1:$C$32</definedName>
    <definedName name="_xlnm.Print_Area" localSheetId="39">'Mountain View to Berlin'!$A$1:$C$32</definedName>
    <definedName name="_xlnm.Print_Area" localSheetId="3">'N. Springfield'!$A$1:$C$32</definedName>
    <definedName name="_xlnm.Print_Area" localSheetId="0">'New&amp;Updated Projects VSPC 2026 '!$B$1:$G$21</definedName>
    <definedName name="_xlnm.Print_Area" localSheetId="28">'Newbury Sub'!$A$1:$C$32</definedName>
    <definedName name="_xlnm.Print_Area" localSheetId="12">'North Rutland'!$A$1:$C$33</definedName>
    <definedName name="_xlnm.Print_Area" localSheetId="75">'Phase 1 Template'!$A$1:$C$32</definedName>
    <definedName name="_xlnm.Print_Area" localSheetId="17">'Pleasant Street Sub'!$A$1:$C$32</definedName>
    <definedName name="_xlnm.Print_Area" localSheetId="32">'Richmond Tran Sub'!$A$1:$C$32</definedName>
    <definedName name="_xlnm.Print_Area" localSheetId="59">Rutland!$A$1:$C$38</definedName>
    <definedName name="_xlnm.Print_Area" localSheetId="33">'Smithville Cap'!$A$1:$C$32</definedName>
    <definedName name="_xlnm.Print_Area" localSheetId="49">'Southern Loop'!$A$1:$C$33</definedName>
    <definedName name="_xlnm.Print_Area" localSheetId="45">'St. Albans'!$A$1:$C$32</definedName>
    <definedName name="_xlnm.Print_Area" localSheetId="65">'Susie Wilson'!$A$1:$C$32</definedName>
    <definedName name="_xlnm.Print_Area" localSheetId="2">Taftsville!$A$1:$C$32</definedName>
    <definedName name="_xlnm.Print_Area" localSheetId="35">'Tafts-Windsor'!$A$1:$C$32</definedName>
    <definedName name="_xlnm.Print_Area" localSheetId="38">'Tower Line to Sand Road'!$A$1:$C$32</definedName>
    <definedName name="_xlnm.Print_Area" localSheetId="5">'Welden St'!$A$1:$C$32</definedName>
    <definedName name="_xlnm.Print_Area" localSheetId="11">'West Dummerston'!$A$1:$C$33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 i="91" l="1"/>
  <c r="I9" i="90"/>
  <c r="I9" i="89"/>
  <c r="I9" i="88"/>
  <c r="I9" i="87"/>
  <c r="I9" i="71" l="1"/>
  <c r="I9" i="72"/>
  <c r="E12" i="51" l="1"/>
  <c r="E13" i="51" s="1"/>
  <c r="E14" i="51" s="1"/>
  <c r="E15" i="51" s="1"/>
  <c r="E16" i="51" s="1"/>
  <c r="E17" i="51" s="1"/>
  <c r="E18" i="51" s="1"/>
  <c r="E19" i="51" s="1"/>
  <c r="E20" i="51" s="1"/>
  <c r="E21" i="51" s="1"/>
  <c r="E22" i="51" s="1"/>
  <c r="E23" i="51" s="1"/>
  <c r="E24" i="51" s="1"/>
  <c r="E25" i="51" s="1"/>
  <c r="E26" i="51" s="1"/>
  <c r="E27" i="51" s="1"/>
  <c r="E28" i="51" s="1"/>
  <c r="E29" i="51" s="1"/>
  <c r="E30" i="51" s="1"/>
  <c r="I9" i="51"/>
  <c r="I9" i="50" l="1"/>
  <c r="B7" i="50"/>
  <c r="B7" i="37" l="1"/>
  <c r="B23" i="37"/>
  <c r="I9" i="37"/>
  <c r="E13" i="40" l="1"/>
  <c r="E14" i="40" s="1"/>
  <c r="E15" i="40" s="1"/>
  <c r="E16" i="40" s="1"/>
  <c r="E17" i="40" s="1"/>
  <c r="E18" i="40" s="1"/>
  <c r="E19" i="40" s="1"/>
  <c r="E20" i="40" s="1"/>
  <c r="E21" i="40" s="1"/>
  <c r="E22" i="40" s="1"/>
  <c r="E23" i="40" s="1"/>
  <c r="E24" i="40" s="1"/>
  <c r="E25" i="40" s="1"/>
  <c r="E26" i="40" s="1"/>
  <c r="E27" i="40" s="1"/>
  <c r="E28" i="40" s="1"/>
  <c r="E29" i="40" s="1"/>
  <c r="E30" i="40" s="1"/>
  <c r="E31" i="40" s="1"/>
  <c r="I10" i="40"/>
  <c r="B7" i="49" l="1"/>
  <c r="B23" i="49" l="1"/>
  <c r="I9" i="49"/>
  <c r="I10" i="39" l="1"/>
  <c r="I10" i="36" l="1"/>
  <c r="I9" i="38" l="1"/>
  <c r="E14" i="45"/>
  <c r="E15" i="45" s="1"/>
  <c r="E16" i="45" s="1"/>
  <c r="E17" i="45" s="1"/>
  <c r="E18" i="45" s="1"/>
  <c r="E19" i="45" s="1"/>
  <c r="E20" i="45" s="1"/>
  <c r="E21" i="45" s="1"/>
  <c r="E22" i="45" s="1"/>
  <c r="E23" i="45" s="1"/>
  <c r="E24" i="45" s="1"/>
  <c r="E25" i="45" s="1"/>
  <c r="E26" i="45" s="1"/>
  <c r="E27" i="45" s="1"/>
  <c r="E28" i="45" s="1"/>
  <c r="E29" i="45" s="1"/>
  <c r="E30" i="45" s="1"/>
  <c r="E31" i="45" s="1"/>
  <c r="I10" i="45"/>
  <c r="I10" i="46"/>
  <c r="E13" i="46"/>
  <c r="E14" i="46" s="1"/>
  <c r="E15" i="46" s="1"/>
  <c r="E16" i="46" s="1"/>
  <c r="E17" i="46" s="1"/>
  <c r="E18" i="46" s="1"/>
  <c r="E19" i="46" s="1"/>
  <c r="E20" i="46" s="1"/>
  <c r="E21" i="46" s="1"/>
  <c r="E22" i="46" s="1"/>
  <c r="E23" i="46" s="1"/>
  <c r="E24" i="46" s="1"/>
  <c r="E25" i="46" s="1"/>
  <c r="E26" i="46" s="1"/>
  <c r="E27" i="46" s="1"/>
  <c r="E28" i="46" s="1"/>
  <c r="E29" i="46" s="1"/>
  <c r="E30" i="46" s="1"/>
  <c r="E31" i="46" s="1"/>
  <c r="I9" i="43"/>
  <c r="I9" i="42"/>
  <c r="B24" i="31" l="1"/>
  <c r="B24" i="23" l="1"/>
  <c r="B23" i="10"/>
  <c r="I10" i="31" l="1"/>
  <c r="I9" i="33"/>
  <c r="I9" i="32"/>
  <c r="B23" i="28" l="1"/>
  <c r="B23" i="30"/>
  <c r="P18" i="1" l="1"/>
  <c r="M18" i="1"/>
  <c r="J11" i="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I11" i="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H11" i="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G11" i="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F11" i="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I9" i="3" l="1"/>
  <c r="I10" i="27" l="1"/>
  <c r="I9" i="30"/>
  <c r="I9" i="28"/>
  <c r="I10" i="29"/>
  <c r="I10" i="26"/>
  <c r="I10" i="25" l="1"/>
  <c r="E13" i="23" l="1"/>
  <c r="E14" i="23" s="1"/>
  <c r="E15" i="23" s="1"/>
  <c r="E16" i="23" s="1"/>
  <c r="E17" i="23" s="1"/>
  <c r="E18" i="23" s="1"/>
  <c r="E19" i="23" s="1"/>
  <c r="E20" i="23" s="1"/>
  <c r="E21" i="23" s="1"/>
  <c r="E22" i="23" s="1"/>
  <c r="E23" i="23" s="1"/>
  <c r="E24" i="23" s="1"/>
  <c r="E25" i="23" s="1"/>
  <c r="E26" i="23" s="1"/>
  <c r="E27" i="23" s="1"/>
  <c r="E28" i="23" s="1"/>
  <c r="E29" i="23" s="1"/>
  <c r="E30" i="23" s="1"/>
  <c r="E31" i="23" s="1"/>
  <c r="I10" i="23"/>
  <c r="E18" i="19"/>
  <c r="E19" i="19" s="1"/>
  <c r="E20" i="19" s="1"/>
  <c r="E21" i="19" s="1"/>
  <c r="E22" i="19" s="1"/>
  <c r="E23" i="19" s="1"/>
  <c r="E24" i="19" s="1"/>
  <c r="E25" i="19" s="1"/>
  <c r="E26" i="19" s="1"/>
  <c r="E27" i="19" s="1"/>
  <c r="E28" i="19" s="1"/>
  <c r="E29" i="19" s="1"/>
  <c r="E30" i="19" s="1"/>
  <c r="E31" i="19" s="1"/>
  <c r="E32" i="19" s="1"/>
  <c r="E33" i="19" s="1"/>
  <c r="E34" i="19" s="1"/>
  <c r="E35" i="19" s="1"/>
  <c r="E36" i="19" s="1"/>
  <c r="E13" i="6"/>
  <c r="E14" i="6" s="1"/>
  <c r="E15" i="6" s="1"/>
  <c r="E16" i="6" s="1"/>
  <c r="E17" i="6" s="1"/>
  <c r="E18" i="6" s="1"/>
  <c r="E19" i="6" s="1"/>
  <c r="E20" i="6" s="1"/>
  <c r="E21" i="6" s="1"/>
  <c r="E22" i="6" s="1"/>
  <c r="E23" i="6" s="1"/>
  <c r="E24" i="6" s="1"/>
  <c r="E25" i="6" s="1"/>
  <c r="E26" i="6" s="1"/>
  <c r="E27" i="6" s="1"/>
  <c r="E28" i="6" s="1"/>
  <c r="E29" i="6" s="1"/>
  <c r="E30" i="6" s="1"/>
  <c r="E31" i="6" s="1"/>
  <c r="E13" i="5"/>
  <c r="E14" i="5" s="1"/>
  <c r="E15" i="5" s="1"/>
  <c r="E16" i="5" s="1"/>
  <c r="E17" i="5" s="1"/>
  <c r="E18" i="5" s="1"/>
  <c r="E19" i="5" s="1"/>
  <c r="E20" i="5" s="1"/>
  <c r="E21" i="5" s="1"/>
  <c r="E22" i="5" s="1"/>
  <c r="E23" i="5" s="1"/>
  <c r="E24" i="5" s="1"/>
  <c r="E25" i="5" s="1"/>
  <c r="E26" i="5" s="1"/>
  <c r="E27" i="5" s="1"/>
  <c r="E28" i="5" s="1"/>
  <c r="E29" i="5" s="1"/>
  <c r="E30" i="5" s="1"/>
  <c r="E31" i="5" s="1"/>
  <c r="B24" i="11"/>
  <c r="B23" i="14"/>
  <c r="B24" i="12"/>
  <c r="G13" i="13"/>
  <c r="L13" i="13" s="1"/>
  <c r="B13" i="13"/>
  <c r="I10" i="20"/>
  <c r="I15" i="19"/>
  <c r="I9" i="16"/>
  <c r="E22" i="15"/>
  <c r="I34" i="15"/>
  <c r="D4" i="14"/>
  <c r="J9" i="14"/>
  <c r="G11" i="14"/>
  <c r="G12" i="14" s="1"/>
  <c r="G13" i="14" s="1"/>
  <c r="G14" i="14" s="1"/>
  <c r="G15" i="14" s="1"/>
  <c r="G16" i="14" s="1"/>
  <c r="G17" i="14" s="1"/>
  <c r="G18" i="14" s="1"/>
  <c r="H11" i="14"/>
  <c r="J11" i="14" s="1"/>
  <c r="E12" i="14"/>
  <c r="E13" i="14" s="1"/>
  <c r="E14" i="14" s="1"/>
  <c r="E15" i="14" s="1"/>
  <c r="E16" i="14" s="1"/>
  <c r="E17" i="14" s="1"/>
  <c r="E18" i="14" s="1"/>
  <c r="E19" i="14" s="1"/>
  <c r="E20" i="14" s="1"/>
  <c r="E21" i="14" s="1"/>
  <c r="E22" i="14" s="1"/>
  <c r="E23" i="14" s="1"/>
  <c r="E24" i="14" s="1"/>
  <c r="E25" i="14" s="1"/>
  <c r="E26" i="14" s="1"/>
  <c r="E27" i="14" s="1"/>
  <c r="E28" i="14" s="1"/>
  <c r="E29" i="14" s="1"/>
  <c r="E30" i="14" s="1"/>
  <c r="D7" i="13"/>
  <c r="L10" i="13"/>
  <c r="H12" i="13"/>
  <c r="L12" i="13" s="1"/>
  <c r="E13" i="13"/>
  <c r="E14" i="13" s="1"/>
  <c r="E15" i="13" s="1"/>
  <c r="E16" i="13" s="1"/>
  <c r="E17" i="13" s="1"/>
  <c r="E18" i="13" s="1"/>
  <c r="E19" i="13" s="1"/>
  <c r="E20" i="13" s="1"/>
  <c r="E21" i="13" s="1"/>
  <c r="E22" i="13" s="1"/>
  <c r="E23" i="13" s="1"/>
  <c r="E24" i="13" s="1"/>
  <c r="E25" i="13" s="1"/>
  <c r="E26" i="13" s="1"/>
  <c r="E27" i="13" s="1"/>
  <c r="E28" i="13" s="1"/>
  <c r="E29" i="13" s="1"/>
  <c r="E30" i="13" s="1"/>
  <c r="E31" i="13" s="1"/>
  <c r="H14" i="13"/>
  <c r="H15" i="13" s="1"/>
  <c r="H16" i="13" s="1"/>
  <c r="H17" i="13" s="1"/>
  <c r="H18" i="13" s="1"/>
  <c r="H19" i="13" s="1"/>
  <c r="H20" i="13" s="1"/>
  <c r="H21" i="13" s="1"/>
  <c r="H22" i="13" s="1"/>
  <c r="H23" i="13" s="1"/>
  <c r="K14" i="13"/>
  <c r="B24" i="13"/>
  <c r="D7" i="12"/>
  <c r="L10" i="12"/>
  <c r="H12" i="12"/>
  <c r="H13" i="12" s="1"/>
  <c r="H14" i="12" s="1"/>
  <c r="H15" i="12" s="1"/>
  <c r="H16" i="12" s="1"/>
  <c r="H17" i="12" s="1"/>
  <c r="H18" i="12" s="1"/>
  <c r="H19" i="12" s="1"/>
  <c r="H20" i="12" s="1"/>
  <c r="H21" i="12" s="1"/>
  <c r="H22" i="12" s="1"/>
  <c r="H23" i="12" s="1"/>
  <c r="E13" i="12"/>
  <c r="E14" i="12" s="1"/>
  <c r="E15" i="12" s="1"/>
  <c r="E16" i="12" s="1"/>
  <c r="E17" i="12" s="1"/>
  <c r="E18" i="12" s="1"/>
  <c r="E19" i="12" s="1"/>
  <c r="E20" i="12" s="1"/>
  <c r="E21" i="12" s="1"/>
  <c r="E22" i="12" s="1"/>
  <c r="E23" i="12" s="1"/>
  <c r="E24" i="12" s="1"/>
  <c r="E25" i="12" s="1"/>
  <c r="E26" i="12" s="1"/>
  <c r="E27" i="12" s="1"/>
  <c r="E28" i="12" s="1"/>
  <c r="E29" i="12" s="1"/>
  <c r="E30" i="12" s="1"/>
  <c r="E31" i="12" s="1"/>
  <c r="L13" i="12"/>
  <c r="K14" i="12"/>
  <c r="L14" i="12"/>
  <c r="J7" i="11"/>
  <c r="L10" i="11"/>
  <c r="G12" i="11"/>
  <c r="E13" i="11"/>
  <c r="E14" i="11" s="1"/>
  <c r="E15" i="11" s="1"/>
  <c r="E16" i="11" s="1"/>
  <c r="E17" i="11" s="1"/>
  <c r="E18" i="11" s="1"/>
  <c r="E19" i="11" s="1"/>
  <c r="E20" i="11" s="1"/>
  <c r="E21" i="11" s="1"/>
  <c r="E22" i="11" s="1"/>
  <c r="E23" i="11" s="1"/>
  <c r="E24" i="11" s="1"/>
  <c r="E25" i="11" s="1"/>
  <c r="E26" i="11" s="1"/>
  <c r="E27" i="11" s="1"/>
  <c r="E28" i="11" s="1"/>
  <c r="E29" i="11" s="1"/>
  <c r="E30" i="11" s="1"/>
  <c r="E31" i="11" s="1"/>
  <c r="K14" i="11"/>
  <c r="F46" i="11"/>
  <c r="J9" i="10"/>
  <c r="G11" i="10"/>
  <c r="G12" i="10" s="1"/>
  <c r="H11" i="10"/>
  <c r="E12" i="10"/>
  <c r="E13" i="10" s="1"/>
  <c r="E14" i="10" s="1"/>
  <c r="E15" i="10" s="1"/>
  <c r="E16" i="10" s="1"/>
  <c r="E17" i="10" s="1"/>
  <c r="E18" i="10" s="1"/>
  <c r="E19" i="10" s="1"/>
  <c r="E20" i="10" s="1"/>
  <c r="E21" i="10" s="1"/>
  <c r="E22" i="10" s="1"/>
  <c r="E23" i="10" s="1"/>
  <c r="E24" i="10" s="1"/>
  <c r="E25" i="10" s="1"/>
  <c r="E26" i="10" s="1"/>
  <c r="E27" i="10" s="1"/>
  <c r="E28" i="10" s="1"/>
  <c r="E29" i="10" s="1"/>
  <c r="E30" i="10" s="1"/>
  <c r="H12" i="10"/>
  <c r="H13" i="10"/>
  <c r="H14" i="10"/>
  <c r="H15" i="10"/>
  <c r="H16" i="10"/>
  <c r="H17" i="10"/>
  <c r="H18" i="10"/>
  <c r="H19" i="10"/>
  <c r="H20" i="10"/>
  <c r="H21" i="10"/>
  <c r="H22" i="10"/>
  <c r="B37" i="10"/>
  <c r="B40" i="10" s="1"/>
  <c r="J10" i="9"/>
  <c r="E13" i="9"/>
  <c r="E14" i="9" s="1"/>
  <c r="E15" i="9" s="1"/>
  <c r="E16" i="9" s="1"/>
  <c r="E17" i="9" s="1"/>
  <c r="E18" i="9" s="1"/>
  <c r="E19" i="9" s="1"/>
  <c r="E20" i="9" s="1"/>
  <c r="E21" i="9" s="1"/>
  <c r="E22" i="9" s="1"/>
  <c r="E23" i="9" s="1"/>
  <c r="E24" i="9" s="1"/>
  <c r="E25" i="9" s="1"/>
  <c r="E26" i="9" s="1"/>
  <c r="E27" i="9" s="1"/>
  <c r="E28" i="9" s="1"/>
  <c r="E29" i="9" s="1"/>
  <c r="E30" i="9" s="1"/>
  <c r="E31" i="9" s="1"/>
  <c r="G12" i="9"/>
  <c r="H12" i="11" l="1"/>
  <c r="H13" i="11" s="1"/>
  <c r="H14" i="11" s="1"/>
  <c r="H15" i="11" s="1"/>
  <c r="H16" i="11" s="1"/>
  <c r="H17" i="11" s="1"/>
  <c r="H18" i="11" s="1"/>
  <c r="H19" i="11" s="1"/>
  <c r="H20" i="11" s="1"/>
  <c r="H21" i="11" s="1"/>
  <c r="H22" i="11" s="1"/>
  <c r="H23" i="11" s="1"/>
  <c r="L12" i="12"/>
  <c r="I12" i="11"/>
  <c r="J12" i="11" s="1"/>
  <c r="J13" i="11" s="1"/>
  <c r="G13" i="10"/>
  <c r="J12" i="10"/>
  <c r="J11" i="10"/>
  <c r="G13" i="11"/>
  <c r="G14" i="11" s="1"/>
  <c r="G15" i="11" s="1"/>
  <c r="G16" i="11" s="1"/>
  <c r="G17" i="11" s="1"/>
  <c r="G18" i="11" s="1"/>
  <c r="G19" i="11" s="1"/>
  <c r="G20" i="11" s="1"/>
  <c r="G21" i="11" s="1"/>
  <c r="G22" i="11" s="1"/>
  <c r="G14" i="13"/>
  <c r="H12" i="14"/>
  <c r="H13" i="14" s="1"/>
  <c r="H14" i="14" s="1"/>
  <c r="H15" i="14" s="1"/>
  <c r="H16" i="14" s="1"/>
  <c r="H17" i="14" s="1"/>
  <c r="H18" i="14" s="1"/>
  <c r="I11" i="14"/>
  <c r="L15" i="12"/>
  <c r="I12" i="10"/>
  <c r="G13" i="9"/>
  <c r="H12" i="9"/>
  <c r="J12" i="9" s="1"/>
  <c r="I13" i="11" l="1"/>
  <c r="I14" i="11" s="1"/>
  <c r="I15" i="11" s="1"/>
  <c r="I16" i="11" s="1"/>
  <c r="I17" i="11" s="1"/>
  <c r="I18" i="11" s="1"/>
  <c r="I19" i="11" s="1"/>
  <c r="I20" i="11" s="1"/>
  <c r="I21" i="11" s="1"/>
  <c r="I22" i="11" s="1"/>
  <c r="I23" i="11" s="1"/>
  <c r="L12" i="11"/>
  <c r="G14" i="10"/>
  <c r="J13" i="10"/>
  <c r="G15" i="13"/>
  <c r="G16" i="13" s="1"/>
  <c r="G17" i="13" s="1"/>
  <c r="L14" i="13"/>
  <c r="L16" i="12"/>
  <c r="J14" i="11"/>
  <c r="L13" i="11"/>
  <c r="I13" i="10"/>
  <c r="H13" i="9"/>
  <c r="G14" i="9"/>
  <c r="G15" i="9" s="1"/>
  <c r="G16" i="9" s="1"/>
  <c r="G17" i="9" s="1"/>
  <c r="G18" i="9" s="1"/>
  <c r="G19" i="9" s="1"/>
  <c r="G20" i="9" s="1"/>
  <c r="G21" i="9" s="1"/>
  <c r="G22" i="9" s="1"/>
  <c r="G23" i="9" s="1"/>
  <c r="G15" i="10" l="1"/>
  <c r="J14" i="10"/>
  <c r="L15" i="13"/>
  <c r="L16" i="13"/>
  <c r="L17" i="12"/>
  <c r="L14" i="11"/>
  <c r="J15" i="11"/>
  <c r="I14" i="10"/>
  <c r="J13" i="9"/>
  <c r="H14" i="9"/>
  <c r="G16" i="10" l="1"/>
  <c r="J15" i="10"/>
  <c r="L17" i="13"/>
  <c r="L18" i="12"/>
  <c r="J16" i="11"/>
  <c r="L15" i="11"/>
  <c r="I15" i="10"/>
  <c r="H15" i="9"/>
  <c r="J14" i="9"/>
  <c r="G17" i="10" l="1"/>
  <c r="J16" i="10"/>
  <c r="L18" i="13"/>
  <c r="L19" i="12"/>
  <c r="L16" i="11"/>
  <c r="J17" i="11"/>
  <c r="I16" i="10"/>
  <c r="H16" i="9"/>
  <c r="J15" i="9"/>
  <c r="G18" i="10" l="1"/>
  <c r="J17" i="10"/>
  <c r="L19" i="13"/>
  <c r="L20" i="12"/>
  <c r="L17" i="11"/>
  <c r="J18" i="11"/>
  <c r="I17" i="10"/>
  <c r="H17" i="9"/>
  <c r="J16" i="9"/>
  <c r="G19" i="10" l="1"/>
  <c r="J18" i="10"/>
  <c r="L20" i="13"/>
  <c r="L21" i="12"/>
  <c r="L18" i="11"/>
  <c r="J19" i="11"/>
  <c r="I18" i="10"/>
  <c r="H18" i="9"/>
  <c r="J17" i="9"/>
  <c r="G20" i="10" l="1"/>
  <c r="J19" i="10"/>
  <c r="L21" i="13"/>
  <c r="L23" i="12"/>
  <c r="L22" i="12"/>
  <c r="J20" i="11"/>
  <c r="L19" i="11"/>
  <c r="I19" i="10"/>
  <c r="H19" i="9"/>
  <c r="J18" i="9"/>
  <c r="G21" i="10" l="1"/>
  <c r="J20" i="10"/>
  <c r="L22" i="13"/>
  <c r="L23" i="13"/>
  <c r="L20" i="11"/>
  <c r="J21" i="11"/>
  <c r="I20" i="10"/>
  <c r="H20" i="9"/>
  <c r="J19" i="9"/>
  <c r="G22" i="10" l="1"/>
  <c r="J22" i="10" s="1"/>
  <c r="J21" i="10"/>
  <c r="L21" i="11"/>
  <c r="J22" i="11"/>
  <c r="I21" i="10"/>
  <c r="H21" i="9"/>
  <c r="J20" i="9"/>
  <c r="L22" i="11" l="1"/>
  <c r="J23" i="11"/>
  <c r="L23" i="11" s="1"/>
  <c r="I22" i="10"/>
  <c r="H22" i="9"/>
  <c r="J21" i="9"/>
  <c r="H23" i="9" l="1"/>
  <c r="J23" i="9" s="1"/>
  <c r="J22" i="9"/>
  <c r="I9" i="7" l="1"/>
  <c r="I10" i="6"/>
  <c r="I10" i="5"/>
</calcChain>
</file>

<file path=xl/sharedStrings.xml><?xml version="1.0" encoding="utf-8"?>
<sst xmlns="http://schemas.openxmlformats.org/spreadsheetml/2006/main" count="6547" uniqueCount="903">
  <si>
    <t>T&amp;D Constraint Name</t>
  </si>
  <si>
    <t>VSPC Load Zone</t>
  </si>
  <si>
    <t>Description of Constraint</t>
  </si>
  <si>
    <t>Winter, Summer, or Both</t>
  </si>
  <si>
    <t>Season of Issue</t>
  </si>
  <si>
    <t>Estimated Project Cost $</t>
  </si>
  <si>
    <t>Use current year $</t>
  </si>
  <si>
    <t>Load Reduction Needed from EE</t>
  </si>
  <si>
    <t>Blue Background = Info provided by DU</t>
  </si>
  <si>
    <t>Orange Background = Info provided by EEU</t>
  </si>
  <si>
    <t>Information regarding the constraint</t>
  </si>
  <si>
    <t>Information regarding the affected customers</t>
  </si>
  <si>
    <t>Total Premises affected</t>
  </si>
  <si>
    <t>Total MW of premises</t>
  </si>
  <si>
    <t>Total MWh of premises</t>
  </si>
  <si>
    <t xml:space="preserve">Total # of commercial premises </t>
  </si>
  <si>
    <t>Total MW from commercial premises</t>
  </si>
  <si>
    <t>Total MWh from commercial premises</t>
  </si>
  <si>
    <t>To be completed following submittal of above infomration</t>
  </si>
  <si>
    <t>Achievable Cost-Effective Energy Efficeincy Potential in Area</t>
  </si>
  <si>
    <t xml:space="preserve">Information regarding Energy Efficiency Potential </t>
  </si>
  <si>
    <t>recognizing that NTA option might include a number of different NTAs which EE is one.  Provide forecast information.  Does forecast assume statewide EE programs already?</t>
  </si>
  <si>
    <t>Programs would have been delivered anyway in area</t>
  </si>
  <si>
    <t>Cost to deliver EE to targeted area $/kW</t>
  </si>
  <si>
    <t>Cost to deliver statewide EE to that targeted area $/kW</t>
  </si>
  <si>
    <t>Estimated probability of success</t>
  </si>
  <si>
    <t>Total cost above status quo to deliver GT program</t>
  </si>
  <si>
    <r>
      <t xml:space="preserve">Above a </t>
    </r>
    <r>
      <rPr>
        <sz val="11"/>
        <color rgb="FFFF0000"/>
        <rFont val="Calibri"/>
        <family val="2"/>
        <scheme val="minor"/>
      </rPr>
      <t>certain</t>
    </r>
    <r>
      <rPr>
        <sz val="11"/>
        <color theme="1"/>
        <rFont val="Calibri"/>
        <family val="2"/>
        <scheme val="minor"/>
      </rPr>
      <t xml:space="preserve"> percentage, the go forward with GT</t>
    </r>
  </si>
  <si>
    <t>Number of Years EE is able to defer project</t>
  </si>
  <si>
    <t>Value of deferment</t>
  </si>
  <si>
    <t>Value of any additional T&amp;D benefits provided by EE</t>
  </si>
  <si>
    <t>Instructions</t>
  </si>
  <si>
    <t xml:space="preserve">Total # of residential premises </t>
  </si>
  <si>
    <t>Total MWh from residential premises</t>
  </si>
  <si>
    <t>Estimate of statewide programs efficiency acquisition MW</t>
  </si>
  <si>
    <t>Estimate of statewide programs efficiency acquisition MWh</t>
  </si>
  <si>
    <t>Estimate of incremental available potential</t>
  </si>
  <si>
    <t>breakdown res/commercial?</t>
  </si>
  <si>
    <t>Provide summary of how potential is estimated and assumed to be acquired - this should be rough estimate</t>
  </si>
  <si>
    <t>Constraint</t>
  </si>
  <si>
    <t>Further screening (Y/N)</t>
  </si>
  <si>
    <t xml:space="preserve">Load Reduction Needed </t>
  </si>
  <si>
    <t>Paste template from Area 1 when complete</t>
  </si>
  <si>
    <t>e.g. reducing risk of contingencies, etc. Describe - could be narrative</t>
  </si>
  <si>
    <t xml:space="preserve">     reducing risk of unanticipated load coming on-line</t>
  </si>
  <si>
    <t xml:space="preserve">     reducing existing exposure on subtransmission system </t>
  </si>
  <si>
    <t xml:space="preserve">     reducing existing exposure on distribution system </t>
  </si>
  <si>
    <t xml:space="preserve">     reducing existing exposure on bulk transmission system </t>
  </si>
  <si>
    <t>Could be one or more</t>
  </si>
  <si>
    <t xml:space="preserve">Most Recent Peak Load </t>
  </si>
  <si>
    <t>5-year historical maximum peak Load</t>
  </si>
  <si>
    <t xml:space="preserve">Known additional load </t>
  </si>
  <si>
    <t>e.g. from "Ability to Serve" letters</t>
  </si>
  <si>
    <t>Critical Load Level</t>
  </si>
  <si>
    <t xml:space="preserve">Use VSPC classification of system level and affected utilities - see 7081 definitions </t>
  </si>
  <si>
    <t>Benefit Classification</t>
  </si>
  <si>
    <t>Estimated Annual Deferral Value</t>
  </si>
  <si>
    <t>to determine real levelized carrying charge use method as defined in Docket 7081 MOU paragraph 63</t>
  </si>
  <si>
    <t>If 2 years or less, then may not be viable for GT.  If over 10 years, then may not be viable for GT.</t>
  </si>
  <si>
    <t xml:space="preserve">Total # of industrial premises </t>
  </si>
  <si>
    <t>Total MW from industrial premises</t>
  </si>
  <si>
    <t>Total MWh from industrial premises</t>
  </si>
  <si>
    <t>Provide definition of "Industrial" customers</t>
  </si>
  <si>
    <t>If only 1 industrial customer, include with commercial</t>
  </si>
  <si>
    <t>Total Estimated MW from residential premises</t>
  </si>
  <si>
    <t>Use/provide assumptions regarding load factor</t>
  </si>
  <si>
    <t>premises = "constrained area"</t>
  </si>
  <si>
    <t>Constrained Area Peak Time of Day</t>
  </si>
  <si>
    <t>Annual Exposure Duration (hours)</t>
  </si>
  <si>
    <t>Attach documents as appropriate</t>
  </si>
  <si>
    <t>range acceptable</t>
  </si>
  <si>
    <t>Deferral Value</t>
  </si>
  <si>
    <t>Relavent VSPC Load Zone Maximum Achievable Savings Potential</t>
  </si>
  <si>
    <t xml:space="preserve">From EEU achievable potential study </t>
  </si>
  <si>
    <t>From Cell B14</t>
  </si>
  <si>
    <t>Year</t>
  </si>
  <si>
    <t>VT</t>
  </si>
  <si>
    <t>SUMMER</t>
  </si>
  <si>
    <t>WINTER</t>
  </si>
  <si>
    <t>2011/2012</t>
  </si>
  <si>
    <t>2012/2013</t>
  </si>
  <si>
    <t>2013/2014</t>
  </si>
  <si>
    <t>2014/2015</t>
  </si>
  <si>
    <t>2015/2016</t>
  </si>
  <si>
    <t>2016/2017</t>
  </si>
  <si>
    <t>2017/2018</t>
  </si>
  <si>
    <t>2018/2019</t>
  </si>
  <si>
    <t>2019/2020</t>
  </si>
  <si>
    <t>2020/2021</t>
  </si>
  <si>
    <t>Explanation of "High Scenario" parameters:</t>
  </si>
  <si>
    <t>"High Scenario" (MW)</t>
  </si>
  <si>
    <t>Note 2 - these loads should already be adjusted for EE included in the trend forecast (removed per EVT reports for every year of the weighted average) then statewide expected savings added (per VEIC calculation, PSB ordered budgets)</t>
  </si>
  <si>
    <t>Note 1- use CELT forecast 50/50 to 90/10 ratio provided to the right for relevant ratio. Carry 2020 ratio out for 10 years</t>
  </si>
  <si>
    <r>
      <t xml:space="preserve">90/10 forecast (MW) </t>
    </r>
    <r>
      <rPr>
        <b/>
        <i/>
        <sz val="11"/>
        <color theme="1"/>
        <rFont val="Calibri"/>
        <family val="2"/>
        <scheme val="minor"/>
      </rPr>
      <t>[N1]</t>
    </r>
  </si>
  <si>
    <r>
      <t xml:space="preserve">50/50 forecast (MW) </t>
    </r>
    <r>
      <rPr>
        <b/>
        <i/>
        <sz val="11"/>
        <color theme="1"/>
        <rFont val="Calibri"/>
        <family val="2"/>
        <scheme val="minor"/>
      </rPr>
      <t>[N2]</t>
    </r>
  </si>
  <si>
    <r>
      <t xml:space="preserve">Incremental GT EE needed </t>
    </r>
    <r>
      <rPr>
        <b/>
        <i/>
        <sz val="11"/>
        <color theme="1"/>
        <rFont val="Calibri"/>
        <family val="2"/>
        <scheme val="minor"/>
      </rPr>
      <t>[N3]</t>
    </r>
  </si>
  <si>
    <t>Note 3 - Incremental GT EE Needed should be defined as the level of incremental EE needed to keep the forecasted load below the critical load level</t>
  </si>
  <si>
    <t>See Column I to the right</t>
  </si>
  <si>
    <t>Estimated Year Project Needed absent GT</t>
  </si>
  <si>
    <t>From Columns E-I to right when Cell B 14 critical load level &gt; column H</t>
  </si>
  <si>
    <t xml:space="preserve">Forecasted load and EE Incremental to Statewide </t>
  </si>
  <si>
    <t>I (Chittenden County excluding Burlington and IBM)</t>
  </si>
  <si>
    <t>Summer</t>
  </si>
  <si>
    <t>52.7 MW</t>
  </si>
  <si>
    <t>Subsystem</t>
  </si>
  <si>
    <t>Yes</t>
  </si>
  <si>
    <t>No</t>
  </si>
  <si>
    <t>Susie Wilson Substation Area</t>
  </si>
  <si>
    <t>Waterbury</t>
  </si>
  <si>
    <t>Winooski - 16Y3 Feeder</t>
  </si>
  <si>
    <t>Hinesburg</t>
  </si>
  <si>
    <t>I</t>
  </si>
  <si>
    <t>13.2 MVA (Wilder)</t>
  </si>
  <si>
    <t>14 MVA (Wilder)</t>
  </si>
  <si>
    <t>12:00 - 18:00</t>
  </si>
  <si>
    <t>$2.5 Million</t>
  </si>
  <si>
    <t>N/A</t>
  </si>
  <si>
    <t>Reliability and Load Growth</t>
  </si>
  <si>
    <t>Winooski 16Y3 Feeder</t>
  </si>
  <si>
    <t>Waterbury Substation</t>
  </si>
  <si>
    <t xml:space="preserve">Waterbury is characterized by voltage constraints due to the antiquated 4.16 kV distribution system in the Village and a concentration of load at an industrial site. Energy efficiency measures spread out over a reasonably large area would not effectively relieve the voltage constraint. The most effective upgrade would be a rebuild of the Waterbury substation (required in a new location).
GMP is very reluctant to defer this upgrade for three reasons: 1) additional concentrated load growth will exceed the 4.16 kV system voltage capacity; 2) upgrade of the Waterbury system to 12.47 kV will permit feeder back-up with the Waterbury Center substation thereby providing back-up to 20 MW of load including a large industrial customer and the State of Vermont Waterbury complex; 3) recent flooding resulted in over six feet of water in the existing substation – a new substation site is required.
</t>
  </si>
  <si>
    <t>Not easily specified, very location specific.</t>
  </si>
  <si>
    <t>Removal of the 3323 and 3328 34.5 kV transmission lines (the Burlington Waterfront lines) in 2012 leaves the 3307 line from Gorge to McNeil vulnerable to thermal overloads following the worst first contingency, namely the loss of the East Avenue 34.5 kV source into McNeil. To relieve this constraint, GMP plans to construct the 0.5 mile 16Y3 feeder into Winooski. This feeder also provides for valuable feeder back-up to the 46Y1 and 36Y5 feeders in the densely loaded Winooski load area.</t>
  </si>
  <si>
    <t>36 MW (46Y1, BED McNeil, McNeil SS, contribution to Iriquois load)</t>
  </si>
  <si>
    <t>36 MW</t>
  </si>
  <si>
    <t>28 MW</t>
  </si>
  <si>
    <t>Dover Haystack</t>
  </si>
  <si>
    <t>Stratton</t>
  </si>
  <si>
    <t>South Brattleboro</t>
  </si>
  <si>
    <t xml:space="preserve">Brattleboro </t>
  </si>
  <si>
    <t>Southern Loop</t>
  </si>
  <si>
    <t xml:space="preserve">Reliability   </t>
  </si>
  <si>
    <t>Reliability</t>
  </si>
  <si>
    <t>Rutland Area</t>
  </si>
  <si>
    <t xml:space="preserve"> </t>
  </si>
  <si>
    <t>&gt;10 years</t>
  </si>
  <si>
    <t>Manchester 12.47 KV Line Loading</t>
  </si>
  <si>
    <t>n/a</t>
  </si>
  <si>
    <t>Bulk</t>
  </si>
  <si>
    <t>Noon, 4-9 PM</t>
  </si>
  <si>
    <t>No existing due to recent upgrades</t>
  </si>
  <si>
    <t>95.6 MW</t>
  </si>
  <si>
    <t>Known additional load  (MW)</t>
  </si>
  <si>
    <t>78.4 (50/50)</t>
  </si>
  <si>
    <r>
      <t xml:space="preserve">Incremental GT EE needed </t>
    </r>
    <r>
      <rPr>
        <b/>
        <i/>
        <sz val="11"/>
        <color indexed="8"/>
        <rFont val="Calibri"/>
        <family val="2"/>
      </rPr>
      <t>[N3]</t>
    </r>
  </si>
  <si>
    <t>"High Scenario 1" (MW)</t>
  </si>
  <si>
    <r>
      <t xml:space="preserve">90/10 forecast (MW) </t>
    </r>
    <r>
      <rPr>
        <b/>
        <i/>
        <sz val="11"/>
        <color indexed="8"/>
        <rFont val="Calibri"/>
        <family val="2"/>
      </rPr>
      <t>[N1]</t>
    </r>
  </si>
  <si>
    <r>
      <t xml:space="preserve">50/50 forecast (MW) </t>
    </r>
    <r>
      <rPr>
        <b/>
        <i/>
        <sz val="11"/>
        <color indexed="8"/>
        <rFont val="Calibri"/>
        <family val="2"/>
      </rPr>
      <t>[N2]</t>
    </r>
  </si>
  <si>
    <t>Winter</t>
  </si>
  <si>
    <t>Load Growth will result in deficient performance during loss of VELCO source</t>
  </si>
  <si>
    <t>Trend=</t>
  </si>
  <si>
    <t>AREA NAME</t>
  </si>
  <si>
    <t>224 YTD  (2.5%)</t>
  </si>
  <si>
    <t>2012 YTD</t>
  </si>
  <si>
    <t>117  (1.3%)</t>
  </si>
  <si>
    <t>With additional loads as proposed number of hours limit would be exceeded:</t>
  </si>
  <si>
    <t>Sum</t>
  </si>
  <si>
    <t>East St. Albans</t>
  </si>
  <si>
    <t>Nason Street</t>
  </si>
  <si>
    <t>North Elm Street</t>
  </si>
  <si>
    <t>2021 Forecast KW</t>
  </si>
  <si>
    <t>Individual Sub Loads Peak</t>
  </si>
  <si>
    <t>Use 100% coincidence and addition of associated ancillary growth  (1 MW)</t>
  </si>
  <si>
    <t>No existing</t>
  </si>
  <si>
    <t>St. Albans</t>
  </si>
  <si>
    <t>"High Scenario" (MW)- SPEED</t>
  </si>
  <si>
    <t>Assume SPEED</t>
  </si>
  <si>
    <t>Solar</t>
  </si>
  <si>
    <t>MW</t>
  </si>
  <si>
    <t>Speed Projects</t>
  </si>
  <si>
    <t xml:space="preserve"> over 3 years</t>
  </si>
  <si>
    <t>EE Stretch Goal</t>
  </si>
  <si>
    <t>avg</t>
  </si>
  <si>
    <t>growth 2004-2011</t>
  </si>
  <si>
    <t>growth 2005-2010</t>
  </si>
  <si>
    <t xml:space="preserve">Commonwealth Yogurt </t>
  </si>
  <si>
    <t>Bad data</t>
  </si>
  <si>
    <t>Vernon to Vernon Road Tap per 2009 LRP</t>
  </si>
  <si>
    <t>Subtransmission</t>
  </si>
  <si>
    <t>Noon-3PM</t>
  </si>
  <si>
    <t>Added 1000 KW additional spot load ability to serve load</t>
  </si>
  <si>
    <t>&lt; 50 hours per year    (&gt;39 MW)</t>
  </si>
  <si>
    <t>&lt;2 MW</t>
  </si>
  <si>
    <t>49.7 MW (Summer Rating 477 ACSR)</t>
  </si>
  <si>
    <r>
      <t xml:space="preserve">Incremental GT EE needed </t>
    </r>
    <r>
      <rPr>
        <b/>
        <i/>
        <sz val="11"/>
        <color indexed="8"/>
        <rFont val="Calibri"/>
        <family val="2"/>
      </rPr>
      <t xml:space="preserve">[N3] </t>
    </r>
    <r>
      <rPr>
        <i/>
        <sz val="11"/>
        <color indexed="8"/>
        <rFont val="Calibri"/>
        <family val="2"/>
      </rPr>
      <t>with SPEED</t>
    </r>
  </si>
  <si>
    <t>"High Scenario" (MW) w/ Potential SPEED projects</t>
  </si>
  <si>
    <t>Scenario w/Potential SPEED projects</t>
  </si>
  <si>
    <t>USE THIS ONE</t>
  </si>
  <si>
    <t xml:space="preserve">Thermal limits of 477 ACSR for loss of Vernon Road 115 source and picking up Brattleboro from Newfane </t>
  </si>
  <si>
    <t>Winstanley Solar 2.0 MW/Cersosimo Biomass .8 MW</t>
  </si>
  <si>
    <t>Brattleboro</t>
  </si>
  <si>
    <t>Distribution</t>
  </si>
  <si>
    <t>2014/2015 Winter</t>
  </si>
  <si>
    <t xml:space="preserve">Evening </t>
  </si>
  <si>
    <t>16 MVA</t>
  </si>
  <si>
    <t>14.05 MVA (November 2012 for 1 hour)</t>
  </si>
  <si>
    <t>Load additions will require upgrade of 10/14 MVA transformer to 15/28 MVA.</t>
  </si>
  <si>
    <t>Stratton Distribution Transformer</t>
  </si>
  <si>
    <t>14 MVA</t>
  </si>
  <si>
    <t xml:space="preserve"> 3 MW (ability to server issued 8/16/2013)</t>
  </si>
  <si>
    <t>11 MVA</t>
  </si>
  <si>
    <t>SKI AREA GROWTH</t>
  </si>
  <si>
    <t>Beyond 10 years.</t>
  </si>
  <si>
    <t>Use 100% coincidence</t>
  </si>
  <si>
    <t>None</t>
  </si>
  <si>
    <t>Milton</t>
  </si>
  <si>
    <t>West Milton &amp; Milton (10.5MVA), Georgia (14 MVA)</t>
  </si>
  <si>
    <t>Milton Area</t>
  </si>
  <si>
    <t>See if load growth trend</t>
  </si>
  <si>
    <t>Continue to Monitor</t>
  </si>
  <si>
    <t>Recommendation:</t>
  </si>
  <si>
    <t>Outstanding Ability to Serves-</t>
  </si>
  <si>
    <t>SPEED</t>
  </si>
  <si>
    <t>considered 90/10 forecast</t>
  </si>
  <si>
    <t>*missing data</t>
  </si>
  <si>
    <t>See detailed Tab</t>
  </si>
  <si>
    <t>Peak Summer Area Coincident Load</t>
  </si>
  <si>
    <t>Combined load capability w/loss of one source</t>
  </si>
  <si>
    <t>West Milton, Milton and Georgia</t>
  </si>
  <si>
    <t xml:space="preserve">Subs-  </t>
  </si>
  <si>
    <t>Milton Area-</t>
  </si>
  <si>
    <t>.75 MW</t>
  </si>
  <si>
    <t>Expected Ability to Serves</t>
  </si>
  <si>
    <t>on line 2014</t>
  </si>
  <si>
    <t>New Ability to Serves in 2013:</t>
  </si>
  <si>
    <t>Supports previous recommendation not to Geotarget due to timing and potential for spot load growth</t>
  </si>
  <si>
    <t>Constraint 11.2 MW constraint- 1302 Line</t>
  </si>
  <si>
    <t>White River Junction Area-</t>
  </si>
  <si>
    <t>No Growth/SPEED/Solar Capital should result in decrease in load</t>
  </si>
  <si>
    <t>Potential Industrial Load Addition</t>
  </si>
  <si>
    <t>No New Geotargeting</t>
  </si>
  <si>
    <t>Approx 10 MW</t>
  </si>
  <si>
    <t>SPEED/Solar Capital Initiative</t>
  </si>
  <si>
    <t>South Rutland, East Rutland, North Rutland, Gas Turbine and Lalor Avenue</t>
  </si>
  <si>
    <t>Rutland Area-</t>
  </si>
  <si>
    <t>Danby Area</t>
  </si>
  <si>
    <t>Rutland</t>
  </si>
  <si>
    <t>Potentially Year Round</t>
  </si>
  <si>
    <t>Description of Upgrade</t>
  </si>
  <si>
    <t>DANBY AREA</t>
  </si>
  <si>
    <t>Chittenden</t>
  </si>
  <si>
    <t>updated 5/7/2014</t>
  </si>
  <si>
    <t>Dover  and Wilmington Transformer</t>
  </si>
  <si>
    <t xml:space="preserve">The Hermitage Club (previously Haystack) was issued an ability to serve in August 2013 for 3 MW of new load.  This will result in the Dover Substation being at top rating of its 10/14 MVA transformer.   Hermitage has additional load proposed for the 2015/2016 winter, with an overall master plan exceeding 10 MW of additional load. </t>
  </si>
  <si>
    <t>The Project will include the construction of a new Haystack Substation.  The proposed design of the new substation will consist of two (2) distribution circuits with associated circuit breakers and regulators, steel and foundations, one (1) 15/28 MVA 69/12.47 kV substation transformer, a high side 69 kV circuit breaker, motor operated load break switches (for transmission line sectionalizing), ground grid, oil containment, communication, security and fence around the new facility</t>
  </si>
  <si>
    <t>Southern</t>
  </si>
  <si>
    <t>Winter 2015/2016</t>
  </si>
  <si>
    <t>2 MW by winter 2015/2016 with continuous blocks of EE needed.  EE would not provide any of reliability benefits of new substation.</t>
  </si>
  <si>
    <t>Anytime during peak ski season</t>
  </si>
  <si>
    <t>7.4 MVA Potential (Replacing Diesel Compressors with Electric)  DEFERRED as of 4/2014</t>
  </si>
  <si>
    <t xml:space="preserve">This project is to replace the existing #2 10 MVA transformer at Stratton Substation with a 15 MVA transformer. The project is being done to increase capacity and reliability. Currently, Stratton has two transformers.  The #1 unit is a 15/28 MVA and the #2 is a 10/14 MVA.   The 10/14 MVA unit has had a load as high as 14.1 MVA. .  The larger transformer will  provide additional backup capability in the event the #1 transformer failed or required maintenance during the winter season. The project consists of replacement of a 10MVA transformer with an existing spare 15MVA transformer currently located at the site.  The larger transformer will also allow for additional area growth.
</t>
  </si>
  <si>
    <t>N/A due to need for Reliability and low cost to install</t>
  </si>
  <si>
    <t>Install cost &lt; $75,000</t>
  </si>
  <si>
    <t>Updated 5/7/2014</t>
  </si>
  <si>
    <t>None at this time.</t>
  </si>
  <si>
    <t>&gt; 10 years</t>
  </si>
  <si>
    <t>Upgrade would bring 115 kV from Newfane to Stratton</t>
  </si>
  <si>
    <t>Descripton of Upgrade</t>
  </si>
  <si>
    <t xml:space="preserve">Reconductor 477 ACSR from Newfane to Vernon Road </t>
  </si>
  <si>
    <t>Not applicable</t>
  </si>
  <si>
    <t>updated 5/8/2014</t>
  </si>
  <si>
    <t>South Brattleboro Substation Upgrade</t>
  </si>
  <si>
    <t>No load Constraint</t>
  </si>
  <si>
    <t>Year round</t>
  </si>
  <si>
    <t>This project relocates and upgrades the Waterbury #60 distribution substation.  This project consists of three distribution circuits with associated circuit breakers, regulators, steel and foundations, one 15/20 MVA distribution power transformer, a high side circuit breaker, motor operated load break switches for transmission line sectionalizing and associated fence, ground grid, oil containment, communication and security work.  The existing substation is located in a flood plain, which was adversely impacted during Hurricane Irene.  The new relocated substation will provide improved reliability for the Town of Waterbury including the new State Office Complex.  This substation will consist of a new 15/28 MVA transformer and three circuits.  The larger transformer can accommodate future load growth and improve the future  to pick up loads normally fed by Waterbury Center substation during emergency and planned outages.The existing Waterbury substation transformer is 45 years old and recent testing has shown signs of insulation degradation.</t>
  </si>
  <si>
    <t>2.76 MW (load lost due to flooding of Waterbury Complex)</t>
  </si>
  <si>
    <t>4.4 MW</t>
  </si>
  <si>
    <t>2.0 MW for Waterbury Complex (initially fed Waterbury Center)</t>
  </si>
  <si>
    <t>E-  Montpelier</t>
  </si>
  <si>
    <t>K- Central-Barnard</t>
  </si>
  <si>
    <t>$2.5 Million WRJ   $1.5 Million Wilder</t>
  </si>
  <si>
    <t>2015 and 2016</t>
  </si>
  <si>
    <t xml:space="preserve">The Wilder and WRJ substations are adjacent to each other in the Towns of Norwich and Hartford respectively. The capacity limits for WRJ and Wilder substations are 9.68 MVA and 14 MVA respectively; total of 23.68 MVA.  Future load additions have been requested that could overload the WRJ substation by 220 kW and would leave only 720 kW of capacity remaining at Wilder substation.  
GMP plans to construct a new WRJ 46 kV to 12.47 kV substation and four-mile 46 kV transmission supply as soon as feasible. 
GMP is concerned that the narrow capacity margins remaining in the area could result in the area exceeding its capacity on very short notice. Also, GMP is reluctant to defer this project due to: 1) the very limited back-up to nearly 25 MW of load and the desire for robust feeder back-up between substations;  2) the benefits of removing the non-standard (13.2 kV generation bus) supply to the WRJ substation; and 3) the benefits of removing the present 13.2 kV supply from some very rugged cross-country sections.
</t>
  </si>
  <si>
    <t>MISC DATA</t>
  </si>
  <si>
    <t>$12-22 Million</t>
  </si>
  <si>
    <t>Bulk/Subsystem</t>
  </si>
  <si>
    <t>Windsor Area</t>
  </si>
  <si>
    <t>The Windsor Substation hit top nameplate in July 2013.  The overload was for very small duration however it flagged project to address thermal issues as well as to bring feederbackup for the Windsor substation's three circuits.</t>
  </si>
  <si>
    <t>14 MVA top nameplate of transformer</t>
  </si>
  <si>
    <t>K- Central-Barnard and Ascutney</t>
  </si>
  <si>
    <t xml:space="preserve">This project constructs a new 46/12.47 kV substation in WIndsor, Vt.  This project consists of two distribution circuits with associated circuit breakers, regulators (437 amp), steel and foundations, one 10/14 MVA distribution power transformer with oil containment, a 46 kV high side circuit breaker, and associated fence, ground grid, communication and security work.                                                                                                               This new substation will feed load currently fed off the Windsor substation.  This substation will provide feeder backup to the Windsor substation and increase available capacity in the area to serve new load. </t>
  </si>
  <si>
    <t>14000 kVA</t>
  </si>
  <si>
    <t>N/A due to Reliabilty Benefits</t>
  </si>
  <si>
    <t>Windsor</t>
  </si>
  <si>
    <t>Comments</t>
  </si>
  <si>
    <t>Notes:</t>
  </si>
  <si>
    <t>*If not load growth related, then No.</t>
  </si>
  <si>
    <t>** Only enter data if constaint is load growth related and deferrable.</t>
  </si>
  <si>
    <t>Airport Substation</t>
  </si>
  <si>
    <t>Chittenden County</t>
  </si>
  <si>
    <t>TBD</t>
  </si>
  <si>
    <t>Wilder</t>
  </si>
  <si>
    <t>White River Junction</t>
  </si>
  <si>
    <t>Barre Area</t>
  </si>
  <si>
    <t>Highbridge to Maple Subtransmission</t>
  </si>
  <si>
    <t>Mill Street Substation</t>
  </si>
  <si>
    <t>Larger substation transformer installed</t>
  </si>
  <si>
    <t>Dover - Haystack (Hermitage)</t>
  </si>
  <si>
    <t>St. Albans Area</t>
  </si>
  <si>
    <t>Load growth related (Y/N)*</t>
  </si>
  <si>
    <t>MW need**</t>
  </si>
  <si>
    <t>White River Junction Substation</t>
  </si>
  <si>
    <t>Anticipated Wilder Substation Upgrade: The project consist of installation of one new 15/28 MVA Distribution Transformer, a 46 kV high side breaker and associated bus work and foundations, new oil containment systems, replacement of reclosers with distribution breakers with associated foundations, security system, new 437 amp circuit feeder voltage regulators and associated switchgear.                                                                                                                                                This substation upgrade will provide for ability to backup the new White River Junction substation, which is also a 15/28 MVA unit.  The existing 10/14 MVA transformer does not have enough capacity for Wilder to backup White River Junction.  The circuit feeder regulation will allow for higher flexibility with circuit ties during planned outages or contingencies and make maintenance of the regulators less of a reliabilty impact on the entire substation.  This project is needed for reliabilty improvement.</t>
  </si>
  <si>
    <r>
      <rPr>
        <u/>
        <sz val="11"/>
        <color theme="1"/>
        <rFont val="Calibri"/>
        <family val="2"/>
        <scheme val="minor"/>
      </rPr>
      <t>2015 White River Junction Upgrade</t>
    </r>
    <r>
      <rPr>
        <sz val="11"/>
        <color theme="1"/>
        <rFont val="Calibri"/>
        <family val="2"/>
        <scheme val="minor"/>
      </rPr>
      <t xml:space="preserve">:This project relocates and upgrades the White River Junction (WRJ) #70 distribution substation.  This project consists of three distribution circuits with associated circuit breakers, regulators, steel and foundations, one 15/20 MVA distribution power transformer with oil containment, a high side circuit breaker, 5.4 MVAR capacitor bank with cap switcher, and associated fence, ground grid, communication and security work. There is a significant need to rebuild the #70 WRJ substation due to limited capacity in the confined area fed by the #70 WRJ and the #71 Wilder, as well as the significant limitations on feeder backup. For WRJ, the company only has one mobile transformer that can back up the substation.  The #70 WRJ substation is a transformer-less 7.2/12.47 kV substation fed by a thermally limited 13.2 kV 1302 transmission line sourced off of the hydro bus at the National Grid Wilder substation.  The #71 Wilder substation is sourced by a GMP 46 kV transmission line.  There is very limited ability for backup between the two substations; this larger transformer would improve this capability.    In addition there is limited capacity remaining in the area to serve new load.                                                                                                                     </t>
    </r>
  </si>
  <si>
    <t>No (Asset Management and Reliability)</t>
  </si>
  <si>
    <t>No (Asset Management)</t>
  </si>
  <si>
    <t>No (Reliability)</t>
  </si>
  <si>
    <t>Graniteville and Wetmore Morse Substations</t>
  </si>
  <si>
    <t>Graniteville and Wetmore Morse</t>
  </si>
  <si>
    <t>In Barre Town, among the substations supplying granite quarry loads are the Graniteville substation and the Wetmore Morse substation. The transformer at the Graniteville substation is a 3 MVA, 34.5 kV to 2.4 kV bank comprised of three individual 1 MVA units that are 90 years old. The transformer at the Wetmore Morse substation is a 1.5 MVA, 34.5 kV to 2.4 kV bank comprised of three individual 500 kVA units. Both substations are aged and near the end of their useful lives.</t>
  </si>
  <si>
    <t>RECOMMENDATION:  This project is excluded from NTA analysis per the Docket 6290 screening tool. Upgrade addresses aging infrastructure and provides feeder backup capability for Waterbury Center.</t>
  </si>
  <si>
    <t xml:space="preserve">RECOMMENDATION:  Exclude this project from NTA analysis given large amount of load expected in short duration.  New substation provides feeder backup opportunities for Dover and Wilimington circuits.  </t>
  </si>
  <si>
    <t>RECOMMENDATION:  Exclude this project from NTA analysis given upgrade is required to remedy reliabilty deficiencies. Very little cost involved to install 15 MVA transformer.</t>
  </si>
  <si>
    <t>Critical Load Level:         52.7 MW</t>
  </si>
  <si>
    <t>Forecast with 1% Background Growth (MW)</t>
  </si>
  <si>
    <t>Forecast with 1.5% Background Growth (MW)</t>
  </si>
  <si>
    <t>Forecast with 2% Background Growth (MW)</t>
  </si>
  <si>
    <t>Forecast with 2.5% Background Growth (MW)</t>
  </si>
  <si>
    <t>Forecast with 3.0% Background Growth (MW)</t>
  </si>
  <si>
    <t>Susie Wilson Area Feeder Loads 2013 (MW)</t>
  </si>
  <si>
    <t>Susie Wilson Area Feeder Loads 2014 (MW)</t>
  </si>
  <si>
    <t>Susie Wilson Area</t>
  </si>
  <si>
    <t>19G3</t>
  </si>
  <si>
    <t>The area served by the Ethan Allen, Essex and Gorge substations is constrained by both feeder capability and substation transformer capacity. This area has experienced nearly 2% annual load growth over the past 5 years together with nearly 2 MW of newly connected industrial load.</t>
  </si>
  <si>
    <t>19G4</t>
  </si>
  <si>
    <t>In order to serve this area, the Susie Wilson 115 kV / 12.47 kV substation will be required at a cost of $8M [Shelburne sub inflated to 2015 dollars by VELCO.]</t>
  </si>
  <si>
    <t>19G5</t>
  </si>
  <si>
    <t xml:space="preserve">Summer </t>
  </si>
  <si>
    <t>19G6</t>
  </si>
  <si>
    <t>19G7</t>
  </si>
  <si>
    <t>36G1</t>
  </si>
  <si>
    <t>2.3 MW of connected load by end of 2015</t>
  </si>
  <si>
    <t>36G2</t>
  </si>
  <si>
    <t>16G1</t>
  </si>
  <si>
    <t>Approximately 1.0 MW of load reduction will provide one year's deferral.</t>
  </si>
  <si>
    <t>16G2</t>
  </si>
  <si>
    <t xml:space="preserve">recognizing that NTA option might include a number of different NTAs which EE is one. </t>
  </si>
  <si>
    <t>Total</t>
  </si>
  <si>
    <t>Need load shape</t>
  </si>
  <si>
    <t>Estimated between 2:00PM and 6:00PM</t>
  </si>
  <si>
    <t>To be determined by EVT</t>
  </si>
  <si>
    <t>Need to know # of years EVT can defer the project first</t>
  </si>
  <si>
    <t>Assume no other benefits for now</t>
  </si>
  <si>
    <t>To date, GMCR has installed 4,000 kW of connected load. In July 2013, this was realized as 1,685 kW at peak. (Peak roasting season is September to December.)</t>
  </si>
  <si>
    <t>Realized GMCR loading at peak (42%) (1,685/4,000) is significantly less than the 75% assumed in previous years' forecasts.</t>
  </si>
  <si>
    <t>GMCR anticipates 1,100 kW of new connected load for 2014 plus an additional 1,200 kW connected load as an ultimate build out.</t>
  </si>
  <si>
    <t>For forecasting purposes, the additional 1,200 kW of load is assumed to be installed in 2015.</t>
  </si>
  <si>
    <t>For forecasting purposes, newly connected load is assumed to be realized as 42% at peak.</t>
  </si>
  <si>
    <t>Newly issued ability-to-serve letters for 2013 have been modest (720 kW connected) and are not expected to influence results.</t>
  </si>
  <si>
    <t>2013 peak loads occurred on July 17, 18 and 19. These are considered by VELCO to be realized 90/10 loads.</t>
  </si>
  <si>
    <t>Area 2014 peak load occurred on July 1, 16:00. ISO summer peak was on July 2 at 15:00. GMP North peak on July 1, 17:00. ISO peak is lowest since 2004 due to relatively low humidity in this period.</t>
  </si>
  <si>
    <t>Notes 9/14:</t>
  </si>
  <si>
    <t>Notes 6/15:</t>
  </si>
  <si>
    <t>There has been no level of load growth in this area to change the above conclusions. ATS total for 2014 and 2015 are less than 3 MW.</t>
  </si>
  <si>
    <t>Anticipated upgrade of Airport substation due to asset condition is significant for this area. Area loading and constraints are now being addressed in the Chittenden County study.</t>
  </si>
  <si>
    <t>Solar installation at VTANG has provided added benefits to this area.</t>
  </si>
  <si>
    <t>Absent very large and localized load growth, the need for a Susie Wilson substations is now beyond any reasonable planning horizon.</t>
  </si>
  <si>
    <t>For planning purposes, Susie Wilson area will now be subsumed into the larger Chittenden County area studies.</t>
  </si>
  <si>
    <t>Initial indications are that the next upgrades needed in Chittenden County will be a second 115kV / 12.47kV transformer at Tafts Corner and a new feeder from Dorset Street.</t>
  </si>
  <si>
    <t>Now part of Chittenden County area study</t>
  </si>
  <si>
    <t>RECOMMENDATION:  The need for a Susie Wilson substation is likely beyond any reasonable planning horizon. This area is now subsumed under the Chittenden County area studies.</t>
  </si>
  <si>
    <t>N/A due to Asset Management</t>
  </si>
  <si>
    <t xml:space="preserve">Most Recent Peak Load  </t>
  </si>
  <si>
    <t xml:space="preserve">5-year historical maximum peak Load </t>
  </si>
  <si>
    <t>No Existing Gap</t>
  </si>
  <si>
    <t>None currently</t>
  </si>
  <si>
    <t xml:space="preserve">The following upgrades should be made as soon as possible to improve the former VMPD system’s reliability for a first contingency.  They will also provide an improved reliability margin for the Rutland area than is presently available: </t>
  </si>
  <si>
    <t>The following recommendations are also made:</t>
  </si>
  <si>
    <t>127 MW in 2006</t>
  </si>
  <si>
    <t>Plan Recommendations:</t>
  </si>
  <si>
    <r>
      <t>·</t>
    </r>
    <r>
      <rPr>
        <b/>
        <i/>
        <sz val="7"/>
        <color theme="1"/>
        <rFont val="Times New Roman"/>
        <family val="1"/>
      </rPr>
      <t xml:space="preserve">         </t>
    </r>
    <r>
      <rPr>
        <b/>
        <i/>
        <sz val="11"/>
        <color theme="1"/>
        <rFont val="Arial"/>
        <family val="2"/>
      </rPr>
      <t xml:space="preserve">Permanently close the West Rutland B7 tie to VMPD (The 2015 capital cost for necessary reconfiguration and new switchgear at West Rutland is estimated preliminarily to be $750,000 - to be budgeted for 2018).  </t>
    </r>
  </si>
  <si>
    <r>
      <t>·</t>
    </r>
    <r>
      <rPr>
        <b/>
        <i/>
        <sz val="7"/>
        <color theme="1"/>
        <rFont val="Times New Roman"/>
        <family val="1"/>
      </rPr>
      <t xml:space="preserve">         </t>
    </r>
    <r>
      <rPr>
        <b/>
        <i/>
        <sz val="11"/>
        <color theme="1"/>
        <rFont val="Arial"/>
        <family val="2"/>
      </rPr>
      <t>Reconductor the 46 kV line from West Rutland to Florence (The 2015 capital cost of reconductoring this line is estimated to be $2,200,000 - already budgeted for 2017).</t>
    </r>
  </si>
  <si>
    <r>
      <t>·</t>
    </r>
    <r>
      <rPr>
        <b/>
        <i/>
        <sz val="7"/>
        <color theme="1"/>
        <rFont val="Times New Roman"/>
        <family val="1"/>
      </rPr>
      <t xml:space="preserve">         </t>
    </r>
    <r>
      <rPr>
        <b/>
        <i/>
        <sz val="11"/>
        <color theme="1"/>
        <rFont val="Arial"/>
        <family val="2"/>
      </rPr>
      <t>Permanently close the (presently normally open) second 46 kV line between Rutland and West Rutland with reconductoring. This would require two new 46 kV breakers at W Rut (2015 capital cost of $213,000 total), transfer-trip at Glenn and Patch ($53,000 total), and about a mile of reconductoring to eliminate #2 CU on W Rut-W Rut tap 46 kV line, with some pole replacements ($373,000 total).  The total 2015 capital cost of closing this line is therefore estimated to be $639,000 - to be budgeted for 2018.</t>
    </r>
  </si>
  <si>
    <r>
      <t>·</t>
    </r>
    <r>
      <rPr>
        <b/>
        <i/>
        <sz val="7"/>
        <color theme="1"/>
        <rFont val="Times New Roman"/>
        <family val="1"/>
      </rPr>
      <t xml:space="preserve">         </t>
    </r>
    <r>
      <rPr>
        <b/>
        <i/>
        <sz val="11"/>
        <color theme="1"/>
        <rFont val="Arial"/>
        <family val="2"/>
      </rPr>
      <t xml:space="preserve">Monitor area load growth to determine when the available reliability margin is within 3-4 years of being exhausted. </t>
    </r>
  </si>
  <si>
    <r>
      <t>·</t>
    </r>
    <r>
      <rPr>
        <b/>
        <i/>
        <sz val="7"/>
        <color theme="1"/>
        <rFont val="Times New Roman"/>
        <family val="1"/>
      </rPr>
      <t xml:space="preserve">         </t>
    </r>
    <r>
      <rPr>
        <b/>
        <i/>
        <sz val="11"/>
        <color theme="1"/>
        <rFont val="Arial"/>
        <family val="2"/>
      </rPr>
      <t>Monitor the shapes of the daily peak load curve and annual load duration curve.</t>
    </r>
  </si>
  <si>
    <r>
      <t>·</t>
    </r>
    <r>
      <rPr>
        <b/>
        <i/>
        <sz val="7"/>
        <color theme="1"/>
        <rFont val="Times New Roman"/>
        <family val="1"/>
      </rPr>
      <t xml:space="preserve">         </t>
    </r>
    <r>
      <rPr>
        <b/>
        <i/>
        <sz val="11"/>
        <color theme="1"/>
        <rFont val="Arial"/>
        <family val="2"/>
      </rPr>
      <t>Evaluate new company initiatives, including E-Co, for impact on Rutland area reliability margins.</t>
    </r>
  </si>
  <si>
    <r>
      <t>·</t>
    </r>
    <r>
      <rPr>
        <b/>
        <i/>
        <sz val="7"/>
        <color theme="1"/>
        <rFont val="Times New Roman"/>
        <family val="1"/>
      </rPr>
      <t xml:space="preserve">         </t>
    </r>
    <r>
      <rPr>
        <b/>
        <i/>
        <sz val="11"/>
        <color theme="1"/>
        <rFont val="Arial"/>
        <family val="2"/>
      </rPr>
      <t>Depending on load changes, update technical studies as well as the hierarchy of available area resource options, recognizing then-current costs, operability, location relative to the North Rutland transformer, new technology, and resource size relative to timing and size of anticipated reliability gap if nothing is done.</t>
    </r>
  </si>
  <si>
    <r>
      <t>When exhaustion of reliability margin is found to be within 3-4 years, execute deployment of resource options in order of the then-current hierarchy to reestablish adequate reliability margin.</t>
    </r>
    <r>
      <rPr>
        <b/>
        <i/>
        <sz val="11"/>
        <color rgb="FF0000FF"/>
        <rFont val="Arial"/>
        <family val="2"/>
      </rPr>
      <t xml:space="preserve">   </t>
    </r>
  </si>
  <si>
    <t>Estimated Project Cost $ West Rutland Interconnect</t>
  </si>
  <si>
    <t>Budgeted 2018</t>
  </si>
  <si>
    <t>All seasons</t>
  </si>
  <si>
    <r>
      <t>Transformer Max 14 MVA  :</t>
    </r>
    <r>
      <rPr>
        <b/>
        <sz val="11"/>
        <color theme="1"/>
        <rFont val="Calibri"/>
        <family val="2"/>
        <scheme val="minor"/>
      </rPr>
      <t xml:space="preserve"> Combined WRJ and Wilder Loads &gt;20 MVA</t>
    </r>
  </si>
  <si>
    <t>23.42 MVA (Rating 2/0 CU)</t>
  </si>
  <si>
    <t>Overloads during contingency peak</t>
  </si>
  <si>
    <t>all year</t>
  </si>
  <si>
    <t>n/A</t>
  </si>
  <si>
    <t>Budgeted 2017</t>
  </si>
  <si>
    <t>&gt; 10 years need     (127 MW with tie in to Florence, so 11 MW)</t>
  </si>
  <si>
    <t>Identified in VELCO Long Range Plan.</t>
  </si>
  <si>
    <t>Cambridge Substation</t>
  </si>
  <si>
    <t>South Poultney</t>
  </si>
  <si>
    <t>There is not identified constraint at this time. The need to replace the Airport substation, and the opportunities that this replacement may provide to support other area substations, has prompted an area-wide study of substation and feeder loads and back-up capabilities. Included in this study are the Dorset Street, Digital, and Tafts Corner substations. It is not clear, at this time, whether reductions in load in the area could defer or reduce the need for future upgrades at these substations. This area is seeing significant development of solar DG projects. GMP has secured land for the Airport substation and construction is planned for 2019. The Chittenden County area-wide study is continuing.</t>
  </si>
  <si>
    <t>The Graniteville substation is under construction and scheduled for completion in 2016. The Wetmore-Morse substation decommissioning should also be complete in 2016.</t>
  </si>
  <si>
    <t>Reliability improvement.</t>
  </si>
  <si>
    <t>PM  (note 18:30 2014 peak) (note 20:00 2015 peak)</t>
  </si>
  <si>
    <t>1400 kVA as of May 2016</t>
  </si>
  <si>
    <t>Note: 5 MW solar to be installed on Milton G37 circuit in 2017</t>
  </si>
  <si>
    <t>n/a  Asset Management- Airport Sub needs to be addressed</t>
  </si>
  <si>
    <t>GMP will rebuild the Graniteville substation with all new components including a 10.5 MVA, 34.5 kV to 12.47 kV transformer, oil containment system, and associated bus work and foundations. Also included would be distribution feeder circuit breakers, voltage regulators, security system, and a control cabinet. The larger transformer will allow for motor starting at area quarries without voltage flicker concerns and will allow for future backup of the Websterville substation. An existing 2.4 kV distribution line between the Graniteville and Wetmore Morse substations would be converted to 12.47 kV for the purpose of supplying the Wetmore Morse loads from the rebuilt Graniteville substation. The Board granted a CPG for this work, including the reconstruction of the Graniteville substation and decommissioning of the Wetmore-Morse substation, in Docket No. 8612, on 4-7-2016.</t>
  </si>
  <si>
    <t>As of summer 2015, peak loads appeared in both the early evening and noon.</t>
  </si>
  <si>
    <t>The VEC Cambridge substation is supplied by the 20-mile long GMP 34.5 kV subtransmission line with terminals at the VELCO East Fairfax substation and the GMP Johnson substation. There are a total of five substations supplied by this line. To limit exposure to line faults, and to reduce the time required for sectionalizing, the air-break switches and single circuit breaker at the Cambridge substation tap will be replaced with three circuit breakers. This is a joint project between GMP and VEC and will be part of a rebuild of the VEC Cambridge substation. VEC needs to rebuild the Cambridge substation to address asset management and safety concerns.</t>
  </si>
  <si>
    <t>The Wilder substation has an undersized transformer that is unable to provide full feeder back-up to the White River Junction substation (which is near completion).</t>
  </si>
  <si>
    <t>Updated 5/16/16</t>
  </si>
  <si>
    <t>Limited motor start capability due to low fault current/a lot of solar/ voltage limitations</t>
  </si>
  <si>
    <t>44.95 (90/10) (2013 14:00 2PM)</t>
  </si>
  <si>
    <t>400 KW 11/2014 ski lift, no others</t>
  </si>
  <si>
    <t>RECOMMENDATION:  CPG issued for this project April 2016.  Exclude this project from DU analysis given upgrade is required to remedy asset management and improve reliabilty. Tranformer sized for needed system strength.</t>
  </si>
  <si>
    <t>Coincident Peak 12.3 MVA (7/13/15 20:15) with peak 11.5 MVA  on 10/14 MVA (7/13/15 20:15), peak 1.7 MVA on 3.75 MVA 11/4/15 9:15)</t>
  </si>
  <si>
    <t>RECOMMENDATION:  Exclude this project from NTA analysis given that the upgrade is required to primarily improve feeder backup for the area as well as to remedy some asset management issues.</t>
  </si>
  <si>
    <t>No new ability to serves</t>
  </si>
  <si>
    <t>Highbridge to Maple Subtransmission (Line 102 and L92)</t>
  </si>
  <si>
    <t xml:space="preserve">INFLATION </t>
  </si>
  <si>
    <t>DOCKET 7081</t>
  </si>
  <si>
    <t>RECOMMENDATION:  Exclude this project from NTA analysis given it screens out  per the Docket 7081 screening tool based on cost*.   This project addresses some asset management issues, but is mainly being done for reliabilty during contingency.</t>
  </si>
  <si>
    <t>*See below</t>
  </si>
  <si>
    <t>483 kW 9/1/15 9:45</t>
  </si>
  <si>
    <t>South Poultney Sub Upgrade</t>
  </si>
  <si>
    <t>not applicable</t>
  </si>
  <si>
    <t>Sharon Substation Upgrade</t>
  </si>
  <si>
    <t>2,531 KVA (January 7, 2014 18:30)</t>
  </si>
  <si>
    <t>RECOMMENDATION:  Exclude this project from NTA analysis given that the proposed upgrades are required to accommodate a solar project within a short time period, as well as to remedy asset management issues.</t>
  </si>
  <si>
    <t>None, a lot of generation</t>
  </si>
  <si>
    <t>This project replaces the existing transformer with a new 15/28 MVA, 46 kV to 12.47 kV unit and adds oil containment. The project also replaces the enclosed switchgear with new open-air bus work and installs new switches, breakers, relays, SCADA equipment, circuit regulators, batteries, station service and a control building. The project adds a high-side circuit breaker to provide better protection to the transformer. The underground getaways, presently 350 MCM Cu, will be upgraded to 1000 MCM Cu to enhance feeder backup capability and support distributed generation. Larger regulators will be installed to allow for greater flexibility with circuit ties to the adjacent Lyons Street, South Bennington, Woodford Road and Silk Road substations during planned outages and contingencies. This project addresses aging infrastructure, improves system operation, corrects deficiencies that do not meet current safety codes, and improves safety and reliability.</t>
  </si>
  <si>
    <t>Bethel Line 107</t>
  </si>
  <si>
    <t>Waterford 65J1</t>
  </si>
  <si>
    <t>McNeil to Gorge Subtransmission</t>
  </si>
  <si>
    <t>West Rutland to Castleton Subtransmission</t>
  </si>
  <si>
    <t>Welden to East St. Albans Subtransmission</t>
  </si>
  <si>
    <t>Welden to East St. Albans Subtransmission (Line 135)</t>
  </si>
  <si>
    <t>Overloads during contingency at area peak loads</t>
  </si>
  <si>
    <t>RECOMMENDATION:  Exclude this project from NTA analysis given it screens out  per the Docket 7081 screening tool based on cost and timing.</t>
  </si>
  <si>
    <t>This project is being done for reliability and safety. This project involves the reconductoring of .41 miles of 3/0 ACSR to 477 ACSR between Welden St. and East St. Albans Tap (Line 135). The project consists of eight (8) poles with associated hardware and 7,500' of 477 MCM ACSR. GMP engaged VELCO to complete a study to address a load increase due to the expansion of the Ben &amp; Jerry's manufacturing facility in St. Albans. The study identified an existing overload of the Welden Street to East St Albans 3/0 ACSR line segment. This segment overloads by more than 10% when the Nason Street end of the B10 line is opened at existing load levels.</t>
  </si>
  <si>
    <t>330 kVA</t>
  </si>
  <si>
    <t>Substation</t>
  </si>
  <si>
    <t>The project consist of installation of one new 15/28 MVA Distribution Transformer, a 69 kV high side breaker and  three distribution circuits with associated circuit breakers, regulators (437 amp), steel and foundations, oil containment, and associated fence, ground grid, communication and security work. Currently, there are two transformers located at South Brattleboro; a 69/12.47 kV 3.75 MVA transformer that feeds two circuits and a 69/12.47 kV 10/14 MVA transformer that feeds two circuits.  The 3.75 MVA is 54 years old and has limited capacity for feeder backup.  The 10/14 MVA is 27 years old, but would not have enough capacity to handle reliability feeder backup alone.  The Project is primarily driven to provide higher capability for feeder backup for area substations, it will also address aging infrastructure.  The larger regulators (328 amp to 437 amp) will also allow for higher flexibility with circuit ties during planned outages or contingencies.</t>
  </si>
  <si>
    <t>McNeil to Gorge Subtransmission, 3309 Line</t>
  </si>
  <si>
    <t>Less than $1.5 million</t>
  </si>
  <si>
    <t>This is a predominantly bulk system deficiency that results in thermal overloads and low voltages, post-contingency, on the 34.5 kV subtransmission system following contingencies on the 115 kV system. Specifically, sections of the 3309 line between McNeil generating station and the Gorge substation overload following certain contingencies on the VELCO 115 kV system. This condition has existed for several years, was identified in the previous VELCO 20-Year Plan, and has since been addressed with operating procedures. GMP will revisit and study this situation in 2019. Most overloads can be addressed with 0.75 miles of overhead reconductoring. More severe overloads can be addressed by additionally installing approximately 0.5 miles of cable in existing conduits within the City of Winooski. This project screens out based on the relatively low cost of the wires option.</t>
  </si>
  <si>
    <t>A 248 application for CPG was submitted in 2016. Construction is planned for 2018.</t>
  </si>
  <si>
    <t>GMP cost:  $1.0 M</t>
  </si>
  <si>
    <t>RECOMMENDATION:  Exclude this project from DU analysis given that the upgrade is required to improve transmission performance and is unrelated to load.</t>
  </si>
  <si>
    <t>Updated May 2017</t>
  </si>
  <si>
    <t>Among the most difficult contingencies for this area is the loss of any one of the VELCO 115/46 kV transformers that supply it, meaning those at North Rutland, Cold River, or Blissville. Following such a loss, at least one of the remaining two transformers may overload at higher load levels, accompanied by local 46 kV line overloads and/or system undervoltage. Further load growth without remediation will exacerbate these existing problems. This is a predominantly bulk deficiency that affects the subtransmission system. Additionally, the recently acquired VMPD system is sourced solely from VELCO’s Florence 115/46 kV transformer. Redundant sourcing would be preferred for a load of this magnitude.</t>
  </si>
  <si>
    <t>Post sundown peak additional SPEED/Standard Offer solar plants cannot be part of the solution to the remaining Rutland area reliability gap as they do not have the necessary operating characteristics.</t>
  </si>
  <si>
    <t>Moretown Substation</t>
  </si>
  <si>
    <t>This project would replace the existing transformer with a larger capacity 34.5 kV to 12.47 kV unit and add oil containment. The project would also install new switches, breakers, relays, SCADA equipment, circuit regulators, batteries, station service and a control facilities. Upgrading to the GMP-standard 12.47 kV would allow for circuit ties to the adjacent Irasville substation during planned outages and contingencies. This project addresses aging infrastructure, improves system operation, corrects deficiencies that do not meet current safety codes, and improves safety and reliability.</t>
  </si>
  <si>
    <t>GMP would construct a new substation in 2020 or later.</t>
  </si>
  <si>
    <t>Construction will occur in 2017 and 2018.</t>
  </si>
  <si>
    <t>Total project cost is $1.0 million. Elizabeth Mine Solar Project will contribute $700k. The GMP portion is $300k.</t>
  </si>
  <si>
    <r>
      <t xml:space="preserve">The proposed substation upgrade is being driven by the need to increase the transformer capacity at Sharon in order to accommodate the interconnection of a solar project.  The existing solar generation served by the substation, in combination with the proposed solar project, will exceed the top nameplate rating of the existing Sharon transformer. In addition, the Project will address aging infrastructure concerns to improve safety and reliability consistent with the strategies described in the company’s approved Integrated Resource Plan. The existing transformer at the Sharon substation is a 3.75/5.25 MVA, 34.5 kV to 12.47 kV bank that is 52 years old. The existing 15 kV breaker is 1973 vintage. The protection and control technologies were updated with microprocessor relaying, in 2012. This Project will also support the interconnection of additional renewable supply resources.The application of DSM measures or DG cannot address the need to increase the transformer capacity and would not enable the area electric network to accommodate the interconnection of the planned solar project.  A reduction in load would actually exacerbate the reverse flow conditions that drive the need for the larger Sharon substation transformer. DSM and additional DG also will not address the aging infrastructure concerns. </t>
    </r>
    <r>
      <rPr>
        <sz val="11"/>
        <color rgb="FFFF0000"/>
        <rFont val="Calibri"/>
        <family val="2"/>
        <scheme val="minor"/>
      </rPr>
      <t>GMP received a CPG for the rebuild of the Sharon substation in July 2016. The rebuild will be within the existing fence line and include a 7.5/10.5 MVA transformer with oil containment, three 438 amp voltage regulators; 34.5 kV motor operated air-break switch, 15 kV vacuum circuit breakers, potential transformer for protection, and station service.</t>
    </r>
  </si>
  <si>
    <t>Driven by need to accommodate large solar project. CPG obtained in 2016.</t>
  </si>
  <si>
    <t>Cause is high generation. NTAs actually exacerbate the situation.</t>
  </si>
  <si>
    <t>McNeil to Gorge Subtransmission Line 3309</t>
  </si>
  <si>
    <t>Will provide backup to White River Junction Substation  completed 2016.</t>
  </si>
  <si>
    <t>No load growth occurring, Study will be completed to support 248 filing.</t>
  </si>
  <si>
    <t>Enclosed switchgear.</t>
  </si>
  <si>
    <t>Recommendation: As part of the Airport study, a number of area upgrades have been identified.  Once Airport 248 received, initiate evaluation of potential upgrades to area and share with VSPC GT committee.</t>
  </si>
  <si>
    <t>There have been discussions for the expansion for South Burlington City Center, University Mall and UVM athletic buildings. To date, loads and timing remain uncertain.</t>
  </si>
  <si>
    <t>5 MW</t>
  </si>
  <si>
    <t xml:space="preserve">   </t>
  </si>
  <si>
    <t>Updated 5/17/2017</t>
  </si>
  <si>
    <t>Wilder Noncoincident 12.71 MVA (2012)           10.17 MVA (2016)</t>
  </si>
  <si>
    <t xml:space="preserve">Wilder (2015) Coincident-  10.5 MVA (2/15/2015)      9.4 MVA (12/20/16)   </t>
  </si>
  <si>
    <t xml:space="preserve">Both  </t>
  </si>
  <si>
    <r>
      <t>The existing Airport substation is located on the property of the Vermont Air National Guard in South Burlington and includes one 1.5 MVA, 34.5 kV to 4.16 kV transformer which is 60</t>
    </r>
    <r>
      <rPr>
        <u/>
        <sz val="11"/>
        <color theme="1"/>
        <rFont val="Calibri"/>
        <family val="2"/>
        <scheme val="minor"/>
      </rPr>
      <t xml:space="preserve"> years old</t>
    </r>
    <r>
      <rPr>
        <sz val="11"/>
        <color theme="1"/>
        <rFont val="Calibri"/>
        <family val="2"/>
        <scheme val="minor"/>
      </rPr>
      <t>; and two 4.16 kV distribution circuits. The 4.16 kV distribution circuits are the only circuits at this voltage in the area that do not allow for feeder backup from adjacent substations. The wood structures are aged</t>
    </r>
    <r>
      <rPr>
        <sz val="11"/>
        <color rgb="FFFF0000"/>
        <rFont val="Calibri"/>
        <family val="2"/>
        <scheme val="minor"/>
      </rPr>
      <t xml:space="preserve"> </t>
    </r>
    <r>
      <rPr>
        <sz val="11"/>
        <rFont val="Calibri"/>
        <family val="2"/>
        <scheme val="minor"/>
      </rPr>
      <t xml:space="preserve">and the substation fence is rusted "stock" (chicken wire).  The existing site has been evaluated and found to be too small to accommodate rebuilding and expanding the substation.  Access to this substation is diffcicult due to being located on National Guard Property.  The project would enhance feeder backup in this area, extend the useful lives of these adjacent substations, address aging assets, and improve safety and reliability.   </t>
    </r>
  </si>
  <si>
    <r>
      <t>This project consists of installing one new 28 MVA, 34.5 kV to 12.47 kV transformer, oil containment, three 12.47 kV distribution circuits, and associated circuit breakers, voltage regulators, bus work, foundations, fence, ground grid, security system, control cabinet, and switch</t>
    </r>
    <r>
      <rPr>
        <sz val="12"/>
        <rFont val="Calibri"/>
        <family val="2"/>
      </rPr>
      <t>gear. The substation will be relocated to a new site that is approximately a half mile from the existing airport substation.  It is located in South Burlington approximately 300 feet west from the intersection of National Guard Avenue and Country Club Drive.  The new substation would be centrally located in Chittenden County and would directly affect five substations including GMP Gorge, Essex, Dorset Street, Town Line, and Tafts Corners substations. The new substation would have positive impact on additional six substations inculding Queen City, Sand Road, Ethan Allen, Digital, Mallets Bay and Shelburne.  The project w</t>
    </r>
    <r>
      <rPr>
        <sz val="12"/>
        <color indexed="8"/>
        <rFont val="Calibri"/>
        <family val="2"/>
      </rPr>
      <t xml:space="preserve">ould enhance feeder backup in this area, extend the useful lives of these adjacent substations, address aging infrastructure, and improve safety and reliability.   </t>
    </r>
  </si>
  <si>
    <r>
      <rPr>
        <sz val="12"/>
        <rFont val="Calibri"/>
        <family val="2"/>
      </rPr>
      <t>GMP received CPG for Docket # 8536 September 2015 for upgrade</t>
    </r>
    <r>
      <rPr>
        <sz val="12"/>
        <color indexed="8"/>
        <rFont val="Calibri"/>
        <family val="2"/>
      </rPr>
      <t xml:space="preserve"> of the Wallingford Substation Transformer from a 5/7 MVA to a 7.5/10.5 MVA unit. This project is constructed and will increase capacity to serve future load and addressed some aging assets.    This project was the first step toward a larger project to address reliability issues associated with the radial 46 kV transmission lines from West Rutland to Danby (approximately 18 miles) and Blissville to Dorset (approximately 26 miles), as well as the long distribution circuit fed from Wallingford (aka WF-g23).   Unlike other options, the Wallingford Upgrade Project should not be a stranded investment after the completion of the long-term project because it will serve as a distribution feeder backup for a new Danby substation.  The WF-g23 circuit has long been one of the worst performing circuits in the GMP system with respect to reliability with customers fed 17 miles away from the serving substation. This project constructs a new 46/12.47 kV substation in Danby, Vt.  A new Danby substation will consist of two distribution circuits with associated circuit breakers, regulators (437 amp), steel and foundations, one 10/14 MVA distribution power transformer with oil containment, a 46 kV high side circuit breaker, and associated fence, ground grid, communication and security work.  This new substation will feed load currently fed off the Wallingford substation.  This substation will provide feeder backup to the Wallingford substation and increase available capacity in the area to serve new load. It will also provide the future ability to feed the Danby Quarry off one of the distribution circuits, which will give the  the quarry better voltage regulation, as  more load is fed off  46 kV line from West Rutland.  A 46 KV tie from Danby to Dorset will eliminate the radial network from Blissville, increasing reliability.</t>
    </r>
  </si>
  <si>
    <t xml:space="preserve">N/A   given project to address Reliabilty </t>
  </si>
  <si>
    <t>46 KV network Dorset to Danby and Danby Sub needed as soon as  ROW's are acquired and budget allows</t>
  </si>
  <si>
    <t>Distribution and Subtransmission</t>
  </si>
  <si>
    <t xml:space="preserve"> N/A</t>
  </si>
  <si>
    <t xml:space="preserve">1.4 MW approved prior 2016  (1000 KW ability to serves for Pike, 400 KW for SLC) </t>
  </si>
  <si>
    <r>
      <rPr>
        <sz val="11"/>
        <color rgb="FFFF0000"/>
        <rFont val="Calibri"/>
        <family val="2"/>
        <scheme val="minor"/>
      </rPr>
      <t xml:space="preserve"> 9,599 KVA 8/11/16 21:00</t>
    </r>
    <r>
      <rPr>
        <sz val="11"/>
        <color theme="1"/>
        <rFont val="Calibri"/>
        <family val="2"/>
        <scheme val="minor"/>
      </rPr>
      <t>,   (</t>
    </r>
    <r>
      <rPr>
        <sz val="11"/>
        <rFont val="Calibri"/>
        <family val="2"/>
        <scheme val="minor"/>
      </rPr>
      <t>11,547 KVA 7/19/15 19:15 and 9,</t>
    </r>
    <r>
      <rPr>
        <sz val="11"/>
        <color theme="1"/>
        <rFont val="Calibri"/>
        <family val="2"/>
        <scheme val="minor"/>
      </rPr>
      <t>847 KVA  7/23/14 16:45)     (over 14000 in 2013 kVA  Overload only 15 minutes)</t>
    </r>
  </si>
  <si>
    <t>RECOMMENDATION:     Exclude this project from NTA analysis given that the upgrade will provide reliability enhancements to an area with no feeder backup. In the short term a small amount of load was transferred to other feeders. This Project has been put on deferred list due to other priorities.  Current Budget Year 2021.  The load is not growing.</t>
  </si>
  <si>
    <t xml:space="preserve">N/A   </t>
  </si>
  <si>
    <t>Peak load not the issue, low load is more problematic due to high generation flow during contingencies.</t>
  </si>
  <si>
    <r>
      <t xml:space="preserve">RECOMMENDATION:  Exclude this project from NTA analysis given that the proposed upgrades are required to remedy asset management issues and address overloads during contingency.  </t>
    </r>
    <r>
      <rPr>
        <sz val="11"/>
        <color rgb="FFFF0000"/>
        <rFont val="Calibri"/>
        <family val="2"/>
        <scheme val="minor"/>
      </rPr>
      <t xml:space="preserve">Deferred to 2018/2019 for additional study related to  SHEI limits. </t>
    </r>
    <r>
      <rPr>
        <sz val="11"/>
        <color theme="1"/>
        <rFont val="Calibri"/>
        <family val="2"/>
        <scheme val="minor"/>
      </rPr>
      <t xml:space="preserve"> Additional DG will make this situation worse.</t>
    </r>
  </si>
  <si>
    <t>VELCO’s Long Range Plan (LRP) has identified the 46 kV Lafayette-Maple and 46 kV Lafayette-Highbridge lines as being severely overloaded for loss of the NGRID’s Bellows Falls T6 115/46 kV transformer at present-day peak load levels.  These overloads were high enough (148% for L102 and 139% for L92) of normal summer rating) to pose not only a reliability concern but also a safety concern.Overloads this severe are beyond GMP’s criteria for 46 kV lines and pose a safety hazard.  GMP therefore proposes to reconductor the two lines in accordance with the LRP.</t>
  </si>
  <si>
    <t>Highbridge to Maple Subtransmission L92</t>
  </si>
  <si>
    <t>The Mill Street substation is located in Bennington and was constructed in 1974. It includes a 14 MVA, 46 kV to 12.47 kV transformer, enclosed switchgear, and two 12.47 kV distribution feeders. Much of the substation equipment has asset management concerns given replacement parts and equipment are no longer available. Deficiencies exist in the control wiring, cabling, distribution panels, and grounding.</t>
  </si>
  <si>
    <r>
      <t>RECOMMENDATION:  Exclude this project from NTA analysis given that the proposed upgrades are required to remedy asset management issues and improve feeder backup for the area.</t>
    </r>
    <r>
      <rPr>
        <sz val="11"/>
        <color rgb="FFFF0000"/>
        <rFont val="Calibri"/>
        <family val="2"/>
        <scheme val="minor"/>
      </rPr>
      <t xml:space="preserve">  This Project is on a deferred budget list due to higher priorities with current budget year 2021.</t>
    </r>
  </si>
  <si>
    <t>RECOMMENDATION:  Exclude this project from NTA analysis given that the proposed upgrades are required to remedy asset management issues and is not load related. No change in load.</t>
  </si>
  <si>
    <t>Line 107 Bethel Sub to P269</t>
  </si>
  <si>
    <t>All</t>
  </si>
  <si>
    <t>24.5 MVA (Rating 3/0 ACSR)</t>
  </si>
  <si>
    <t xml:space="preserve"> Alternatives to reconductoring projects usually consist of the following strategies for reducing current flow on the overloaded transmission or subtransmission path.  These include the load reductions at the receiving end through efficiency, demand response, energy storage or other means, generation increases at the receiving end, voltage conversion of the overloaded circuit and parallel path additions that divide the load burden.
All of these alternatives are more costly than reconductoring in this circumstance because load reductions and generation additions on a subtransmission network, such as this area, are less effective than remedies on radial distribution because part of the resulting flow reductions show up on parallel paths, thereby necessitating more resources (and more cost) to alleviate the overloads.
Rebuilding transmission lines at a higher voltage would be more expensive on a per-mile basis than reconductoring.  Estimates from VELCO indicate conversion to a higher voltage can cost $3-5 million/mile.
A new transmission tends to be an even more expensive alternative to solve the same problem, and is usually  regarded as a last resort not only due to cost but aesthetics and environmental impacts.
The reconductoring projects being proposed are relatively short in length and therefore relatively low in cost as compared with generation/load reductions which would cost in the range of $2000-$5000 per kW.  In this case, far out costing the proposed project. </t>
  </si>
  <si>
    <t>This project's justification is primarily reliability.  This project addresses the rebuild of approximately 0.22 miles of 46kV transmission line from Bethel Substation to Line 107 structure 269 with larger conductor.  This project's justification is primarily reliability.  Studies conducted by ISO-NE and VELCO determined that upgrading an existing 115 kV line, supplemented with other component transmission and subtransmission upgrades, would be the most cost-effective solution to mitigate the identified concerns.  Recent studies conducted by ISO-NE and VELCO, to comply with NERC and NPCC requirements, revealed that a variety of N-1-1 transmission contingency scenarios could result in Rutland and Central Vermont area load loss of as much as 340 MW, which violates ISO-NE transmission performance criteria.</t>
  </si>
  <si>
    <t>RECOMMENDATION:  Exclude this project from NTA analysis given it screens out  per the Docket 7081 screening tool based on cost*.   This project is being done for reliabilty during contingency.  It is a very short section and NTA's would not be cost effective.</t>
  </si>
  <si>
    <t>Budgeted for completion 2018</t>
  </si>
  <si>
    <t>Hydeville/Fair Haven Substation Upgrades/Conversion</t>
  </si>
  <si>
    <t>Hydeville and Fair Haven Substation Upgrades/Conversion</t>
  </si>
  <si>
    <t>Hydeville is budgeted for 2020 and Fair Haven for 2021</t>
  </si>
  <si>
    <t>Both</t>
  </si>
  <si>
    <t>N/A   Asset Management and Feeder Backup</t>
  </si>
  <si>
    <t>RECOMMENDATION:  GMP will update as we get closer to actual budget year.   Exclude this project from DU analysis given upgrade is required to remedy asset management  and improve reliability by providing feeder backup to two substations with no feeder backup capability.</t>
  </si>
  <si>
    <t>No (Asset Management, Reliability and Efficiency)</t>
  </si>
  <si>
    <t>RECOMMENDATION:  Exclude this project from NTA analysis given that the proposed upgrades are required to remedy asset management issues and improve feeder backup for the area.  Budget year &gt;2020.</t>
  </si>
  <si>
    <t xml:space="preserve">The Hydeville and Fair Haven substations feed 4 KV load and have no feeder backup capability.  </t>
  </si>
  <si>
    <t xml:space="preserve">GMP will rebuild the Hydeville substation and Fair Haven substation with all new components including at minimum a top nameplate  10.5 MVA, 46 kV to 12.47 kV transformer, oil containment system, and associated bus work and foundations. Also included would be distribution feeder circuit breakers, voltage regulators, security system, and a control cabinet. The larger transformer will allow for feeder backup capability between these substations but also for Castleton and potential for future ties to Carvers Falls and Poulntey area substations.   Due to conversion from 4 KV to 12.47 kV there will be a reduction in losses. </t>
  </si>
  <si>
    <t>Relevant VSPC Load Zone Maximum Achievable Savings Potential</t>
  </si>
  <si>
    <t>This project's justification is primarily reliability.  This project addresses the reconductoring of approximately 6.69 miles of 46kV transmission line from West Rutland to Castleton to Line 44 structure 1-124 with larger conductor.  This project's justification is primarily reliability.  Studies have shown overload of this 2/0 ACSR for peak conditions with the loss of VELCO Blissville.</t>
  </si>
  <si>
    <t xml:space="preserve">20.2 MVA (Rating 2/0 ACSR) </t>
  </si>
  <si>
    <t>Line 44-West Rutland to Castleton 46 KV</t>
  </si>
  <si>
    <t>RECOMMENDATION:     NEEDS ADDITIONAL EVALUATION.   GMP will continue to update group on this project as we move closer to actual budget year.  GMP will be completing assessment of line condition with respect to asset management.  GMP will also consider adopting an emergency rating which will require additional study and/or storage.   Budgeted for year &gt;2020.</t>
  </si>
  <si>
    <t xml:space="preserve">Approx 9 MW.  Alternatives to reconductoring projects usually consist of the following strategies for reducing current flow on the overloaded transmission or subtransmission path.  These include the load reductions at the receiving end through efficiency, demand response, energy storage or other means, generation increases at the receiving end, voltage conversion of the overloaded circuit and parallel path additions that divide the load burden.
All of these alternatives are more costly than reconductoring in this circumstance because load reductions and generation additions on a subtransmission network, such as this area, are less effective than remedies on radial distribution because part of the resulting flow reductions show up on parallel paths, thereby necessitating more resources (and more cost) to alleviate the overloads.
Rebuilding transmission lines at a higher voltage would be more expensive on a per-mile basis than reconductoring.  Estimates from VELCO indicate conversion to a higher voltage can cost $3-5 million/mile.
A new transmission tends to be an even more expensive alternative to solve the same problem, and is usually  regarded as a last resort not only due to cost but aesthetics and environmental impacts.
The reconductoring projects being proposed are relatively short in length and therefore relatively low in cost as compared with generation/load reductions which would cost in the range of $2000-$5000 per kW.  In this case, far out costing the proposed project. </t>
  </si>
  <si>
    <t>RECOMMENDATION:  Exclude this project from NTA analysis given it screens out  per the Docket 7081 screening tool based on reliability.</t>
  </si>
  <si>
    <t>Budgeted for construction in 2019/2020</t>
  </si>
  <si>
    <t>RECOMMENDATION:  This project is excluded from NTA analysis per the Docket 6290 screening tool. Upgrade being done for feeder backup capability for White River Junction.  Tentatively scheduled 2020.  No load growth occurring.</t>
  </si>
  <si>
    <t>Waterford substation supplies one circuit, the 65J1, and includes 34.5 kV to 4.16 kV 3 x 200 kVA transformers of 1947 vintage. These transformers are beyond their useful lives and have non-standard spirakore windings. There are no back-up transformers available. The substation has a very small footprint such that the reclosers are pole mounted and located outside of the fence. Transformer failure would require installing a mobile unit and petitioning the Board under 248 (k). GMP intends to study the following options: 1) replace the exisiting transformer with a standard three-phase 34.5 kV to 4.16 kV transformer; 2) install a 34.5 kV to 12.47 kV transformer and convert the 65J1 to 12.47 kV; 3) convert to 12.47 kV as in 2) above and provide feeder backup off of the Bay Street G-4 circuit from St. Johnsbury; or 4) retire the substation and supply the Waterford load off of the Bay Street G-4 circuit.  High solar saturation.</t>
  </si>
  <si>
    <t>RECOMMENDATION:  Exclude this project from NTA analysis  based on asset condition and reliability. NTAs are unable to address this issue.</t>
  </si>
  <si>
    <t>RECOMMENDATION:  Exclude this project from NTA analysis given it screens out  per the Docket 7081 screening tool based on cost.  Current Budget year 2020.</t>
  </si>
  <si>
    <t>North St. Albans to Sheldon  (Line 137)</t>
  </si>
  <si>
    <t>This project's justification is asset management and reliability.  The project rebuilds  approximately 7.1 miles of 34.5 kV subtransmission line (Line 137) from the GMP North St. Albans substation to the VEC Sheldon Springs substation. The line is over 60 years old, in poor condition, and contains 2/0 Cu wire. All 167 poles would be replaced and larger standard conductor installed.</t>
  </si>
  <si>
    <t>RECOMMENDATION:  As outlined in Rutland Area Reliability Plan filed April 2015, continue to monitor this area . GMP will collect data during the 2015 and 2016 summer peak seasons to confirm no gap and report back to .committee.  Upgrades proposed for reconductoring/tieing Florence to West Rutland screens out of Docket 7081 due to "Needed for a redundant supply to a radial load".  Eliminates Florence being a radial 46 KV and brings another source in to support Rutland Area.  In the CPG Process Docket No. 8867.</t>
  </si>
  <si>
    <t>Updated June 2018</t>
  </si>
  <si>
    <r>
      <t>GMP is engaged in an on-going process of converting all of the area’s feeders to 12.47 kV. Having all of these feeders at 12.47 kV will permit maximum flexibility in loading among the circuits, lower line losses, enhance feeder voltage profiles, permit feeder backup throughout the area, allow for load growth, allow for future installations of DG, and lower maintenance and equipment stocking costs. GMP will also rebuild the Barre North End substation and Barre South End substation to address asset management issues and permit robust feeder back-up among the substations' distribution feeders. Each substation would contain a transformer with a top rating of 28 MVA.</t>
    </r>
    <r>
      <rPr>
        <i/>
        <sz val="12"/>
        <color rgb="FFFF0000"/>
        <rFont val="Calibri"/>
        <family val="2"/>
      </rPr>
      <t xml:space="preserve"> The Public Utility Commission (PUC) approved the reconstruction and upgrade of the Barre North End substation, in its order in Docket No. 8846 dated February 16, 2017.  This Barre #63 North End substation rebuild is expected to be completed in mid-2018.  GMP received PUC approval for the Barre South End #37 Substation, in Case No. 17-3862-PET on November 6, 2017.  </t>
    </r>
  </si>
  <si>
    <r>
      <t xml:space="preserve">The Barre area is presently served by three substations: the Barre North End substation; the Barre South End substation; and the Websterville substation. (A fourth area substation, the Barre substation, was removed from service in 2014.) These substations are generally characterized as aged with equipment that is reaching the end of its useful life. Each of these substations is supplied from the 34.5 kV subtransmission system and in turn supply, in varying amounts, distribution circuits at voltages of 2.4 kV, 4.16 kV, and 12.47 kV. .   </t>
    </r>
    <r>
      <rPr>
        <i/>
        <sz val="12"/>
        <color indexed="8"/>
        <rFont val="Calibri"/>
        <family val="2"/>
      </rPr>
      <t xml:space="preserve">The lack of feeder backup up as well as the poor plant conditions are the major reasons a long-term plan for the Barre Area substation and distribution system was necessary. These issues cause low efficiency, constraints in GMP operation, poor power quality, reduced reliability, and safety concerns to both GMP customers and field crews. </t>
    </r>
  </si>
  <si>
    <t>Not load driven</t>
  </si>
  <si>
    <t>Each substation would cost approximately $2.8 million.</t>
  </si>
  <si>
    <r>
      <t>In the context of PSB Docket No. 8069, GMP stated that it would convert the Barre area to a uniform 12.47 kV distribution by 2018.</t>
    </r>
    <r>
      <rPr>
        <sz val="11"/>
        <color rgb="FFFF0000"/>
        <rFont val="Calibri"/>
        <family val="2"/>
      </rPr>
      <t xml:space="preserve"> </t>
    </r>
    <r>
      <rPr>
        <i/>
        <sz val="11"/>
        <color rgb="FFFF0000"/>
        <rFont val="Calibri"/>
        <family val="2"/>
      </rPr>
      <t>GMP is on track to meet this deadline. Barre North End work scheduled to be completed June 2018 and Barre South End scheduled to be completed February 2019.</t>
    </r>
  </si>
  <si>
    <t>RECOMMENDATION:  Exclude this project from NTA analysis given that the proposed upgrades are required to remedy asset management issues and improve feeder backup for the area. PUC approval received for both Barre North End and Barre South End Substation Upgrade projects.</t>
  </si>
  <si>
    <t>may be complete? Checking with Voyer.</t>
  </si>
  <si>
    <t>Project completion scheduled September 2018</t>
  </si>
  <si>
    <t xml:space="preserve">The primary reason for this Project is reliability to address asset management concerns.   The existing three single-phase transformers at the South Poultney substation are 1920 vintage.    Safety is also enhanced with installation of a new ground grid and advanced security to prevent unauthorized entry into the substation.The 1922, 250 kVA South Poultney transformer is the oldest substation power transformer at GMP.  The other 2 units, a 250 KVA and a 333 KVA, were manufactured in 1942.  These three transformers manufactured in 1942 &amp; 1922 are among the top 10 oldest power transformers still in service on the GMP system.  This circuit also lacks distribution tie lines to serve as feeder backup.  A substation failure at South Poultney would lead to an extended outage.  </t>
  </si>
  <si>
    <t>The PUC approved this project, in its order in Case No. 17-3428-PET dated December 22, 2017</t>
  </si>
  <si>
    <t>Nason Street to Welden Street Subtransmission (Line 135)</t>
  </si>
  <si>
    <t>North St. Albans to Sheldon Subtransmission (Line 137)</t>
  </si>
  <si>
    <t>Distribution Substation</t>
  </si>
  <si>
    <t>Transmission Substation</t>
  </si>
  <si>
    <t>Transmission Line</t>
  </si>
  <si>
    <t>Transmission Lines and Substations</t>
  </si>
  <si>
    <t>Putney Conversion</t>
  </si>
  <si>
    <t>Estimated $</t>
  </si>
  <si>
    <t xml:space="preserve">Not load driven </t>
  </si>
  <si>
    <t>East Ryegate</t>
  </si>
  <si>
    <t>Distribution Substation and Transmission Line</t>
  </si>
  <si>
    <t>Irasville Substation</t>
  </si>
  <si>
    <t>Sharon Substation</t>
  </si>
  <si>
    <t>East St. Albans Capacitor Banks</t>
  </si>
  <si>
    <t>Maple Avenue to Charlestown (Line 102)</t>
  </si>
  <si>
    <t>Waterford 65J1 Conversion</t>
  </si>
  <si>
    <t xml:space="preserve">Newbury Substation </t>
  </si>
  <si>
    <t>Carvers Falls Substation</t>
  </si>
  <si>
    <t>Smithville Capacitor Bank</t>
  </si>
  <si>
    <t>Tower Line to Sand Road (Line 3334)</t>
  </si>
  <si>
    <t>Mountain View to Berlin (Line 3325)</t>
  </si>
  <si>
    <t>Johnson to Lowell (Line 133)</t>
  </si>
  <si>
    <t>Highbridge Substation</t>
  </si>
  <si>
    <t>No (Reliability and Safety)</t>
  </si>
  <si>
    <t>Year of need/budget</t>
  </si>
  <si>
    <t>Category</t>
  </si>
  <si>
    <t>Screen out due to cost, various separate sections requires reconductoring.</t>
  </si>
  <si>
    <t>Pleasant Street Substation</t>
  </si>
  <si>
    <t>Richmond Substation</t>
  </si>
  <si>
    <t>TL= $2,800,000   DS= $2,250,000</t>
  </si>
  <si>
    <t>Danby to Dorset 46 kV tie/Danby Substation</t>
  </si>
  <si>
    <t>Undefined</t>
  </si>
  <si>
    <t>Distribution Feeder</t>
  </si>
  <si>
    <t>Completed</t>
  </si>
  <si>
    <t>IN CONSTRUCTION</t>
  </si>
  <si>
    <t>DEFERRED</t>
  </si>
  <si>
    <t>Dover Substation</t>
  </si>
  <si>
    <t>Add HS breaker, not to be confused with Dover Haystack new substation</t>
  </si>
  <si>
    <t>Barre North End</t>
  </si>
  <si>
    <t>Barre South End</t>
  </si>
  <si>
    <t>Barre Area- Websterville Substation</t>
  </si>
  <si>
    <t>PUC approval in Docket No. 8867 dated May 25, 2017</t>
  </si>
  <si>
    <t>PUC approval in Docket No. 8846 dated February 16, 2017</t>
  </si>
  <si>
    <t>Monitor</t>
  </si>
  <si>
    <t>Joint project with VEC/ PUC approval in Case No. 17-2675-PET dated September 26, 2017</t>
  </si>
  <si>
    <t>PUC approval in Case No. 17-3428-PET dated December 22, 2017</t>
  </si>
  <si>
    <t>PUC approval in Case No. 17-3862-PET on November 6, 2017</t>
  </si>
  <si>
    <t>PUC approval in Docket No. 8605 dated June 9, 2016</t>
  </si>
  <si>
    <t>COMPLETED/REMOVED</t>
  </si>
  <si>
    <t>All projects complete 2018/2019</t>
  </si>
  <si>
    <t>VELCO Barre to Websterville  (Line 3306)</t>
  </si>
  <si>
    <t xml:space="preserve">PUC approval in  Case No. 18-0269-PET dated March 22, 2018 </t>
  </si>
  <si>
    <t>Taftsville to Windsor (Line 105)</t>
  </si>
  <si>
    <t>Websterville Substation</t>
  </si>
  <si>
    <t>Newbury Substation</t>
  </si>
  <si>
    <t>Dover Substation Upgrades</t>
  </si>
  <si>
    <t xml:space="preserve">East Ryegate Substation </t>
  </si>
  <si>
    <t>East St. Albans Capacitors on 34.5 kV</t>
  </si>
  <si>
    <t>Smithville Capacitor 46 kV</t>
  </si>
  <si>
    <t>Supply Out of Service</t>
  </si>
  <si>
    <t>Load out of service (MVA)</t>
  </si>
  <si>
    <t>Tie Capability</t>
  </si>
  <si>
    <t>Load at Risk</t>
  </si>
  <si>
    <t>(MVA)</t>
  </si>
  <si>
    <t>#16 Gorge 12 kV</t>
  </si>
  <si>
    <t>36G1, 36G2, 19G5</t>
  </si>
  <si>
    <t>#19 Essex B2 12kV</t>
  </si>
  <si>
    <t>43G2, 73G5, 19G7, 33G2</t>
  </si>
  <si>
    <t>#19 Essex B4 12kV</t>
  </si>
  <si>
    <t>16G1, 19G4</t>
  </si>
  <si>
    <t>#32 Queen City 12 kV</t>
  </si>
  <si>
    <t>53G2, 78G2, 78G4</t>
  </si>
  <si>
    <t>#33 Sand Road 12 kV</t>
  </si>
  <si>
    <t>19G4, 73G5</t>
  </si>
  <si>
    <t>#36 Ethan Allen 12 kV</t>
  </si>
  <si>
    <t>16G1, 34G1</t>
  </si>
  <si>
    <t>#43 Digital 12kV</t>
  </si>
  <si>
    <t>44G1, 78G3, 73G1, 44G2, 19G3, 43G4</t>
  </si>
  <si>
    <t>#44 Town Line 12kV</t>
  </si>
  <si>
    <t>43G2, 78G1</t>
  </si>
  <si>
    <t>A#53 Shelburne 12kV</t>
  </si>
  <si>
    <t>78G2, 32G4</t>
  </si>
  <si>
    <t># 73 Tafts Corner 12kV</t>
  </si>
  <si>
    <t>43G2, 19G3</t>
  </si>
  <si>
    <t>#78 Dorset St 12kV</t>
  </si>
  <si>
    <t>44G2, 32G7, 43G3, 32G7, 53G2</t>
  </si>
  <si>
    <t>#79 Airport 4 kV</t>
  </si>
  <si>
    <t>With the new Airport substation the load at risk in 2021 (assuming 1% annual growth) during peak conditions is reduced as follows:</t>
  </si>
  <si>
    <t>2021 Load out of service (kVA)</t>
  </si>
  <si>
    <t>2021 Load at Risk</t>
  </si>
  <si>
    <t>AP3, 36G1,36G2,19G5,19G6</t>
  </si>
  <si>
    <t>19G6,19G7, AP1,33G2,43G4,73G2</t>
  </si>
  <si>
    <t>16G1, 19G4, 16G1</t>
  </si>
  <si>
    <t>53G2, 78G2, 78G4, 53G3, 53G2</t>
  </si>
  <si>
    <t>44G2,78G3,44G1,73G2,19G3</t>
  </si>
  <si>
    <t>43G2, AP1,43G4,43G3</t>
  </si>
  <si>
    <t>#53 Shelburne 12kV</t>
  </si>
  <si>
    <t>32G7,32G4,78G2</t>
  </si>
  <si>
    <t>43G2,19G3,33G2, 43G4</t>
  </si>
  <si>
    <t>32G7,43G3, AP2,53G3, AP1</t>
  </si>
  <si>
    <t>#79 Airport 12kV</t>
  </si>
  <si>
    <t>44G2,19G3,78G3,78G4,16G1</t>
  </si>
  <si>
    <t>As shown below the existing system feeder backup , without the new Airport substation has load at risk, during peak load conditions:</t>
  </si>
  <si>
    <t>RECOMMENDATION VSPC 2017:  Exclude this project from NTA analysis given that the proposed upgrade is required to remedy asset management issues and improve feeder backup for the area.</t>
  </si>
  <si>
    <t>Feederbackup constraints Both</t>
  </si>
  <si>
    <t xml:space="preserve"> NOT SEEING LOAD GROWTH</t>
  </si>
  <si>
    <t xml:space="preserve">6.5 MW     (2013)                                        </t>
  </si>
  <si>
    <t>Reliability Plan showed full potential demand savings, or 250 kW, could be achieved for $1,000,000.  This is not a cost effective option.</t>
  </si>
  <si>
    <t xml:space="preserve">Load center of 3 MW is located over 8 miles from the Charlotte source.   Likelihood of additional load in Hinesburg area due to housing developments as well as possible rehabilitation of the former Saputo cheese factory and Tier 3 opportunities.  GMP has constructed a tie to VEC to move a portion (approx 2 MW) of the load off Charlotte 28 circuit.   A reliability plan was filed with the PSB in September 2016. Plan is to: 1) install a battery energy storage system (BESS); and 2) construct a jointly owned substation with VEC.  Analysis shows that once circuit reaches 9 MW, (approximately 2.5-3 MW of growth) there will be thermal, voltage and protection constraints.   </t>
  </si>
  <si>
    <t xml:space="preserve">1) 2018-GMP add DVAR line device to address motor start limitations, voltage fluctuations                2) GMP monitor load growth to determine when to pull trigger for BESS 3 MW / 6 MWh.                                    3) GMP coordinate with VEC on opportunity to still construction of a joint substation 34.5/12.47 KV 15/28 MVA substation  in Hinesburg, Vt.   VEC adding a BESS that may remove opportunity for joint substation.   This substation will provide feeder backup to the Charlotte substation and increase available capacity  in the area to serve new load. This new substation could also provide backup for VEC area circuits and provide future backup for the 45G circuit out of N Ferrisburg. </t>
  </si>
  <si>
    <t xml:space="preserve">This project will provide network for 46 KV radial system by building subtransmission line from West Rutland to Dorset.  The 46/12.47 kV substation will provide feederbackup for Wallingford 46/12.47 kV Substation. </t>
  </si>
  <si>
    <t>4.8 MVA  Occurred November 2012 at 18:30</t>
  </si>
  <si>
    <t xml:space="preserve">The rebuild of the Websterville #61 Substation will provide a third strong 12.47 kV source for the area.  The substation will be designed with a 15 MVA transformer and three circuits to allow for feeder backup for the Barre #37 South and Graniteville #35 substations, and will significantly improve reliability for local residents and businesses. The primary reason for completing this Project is to provide greater area operating flexibility for feeder backup during planned and emergency outages, improving customers' reliability for the entire Barre area.   </t>
  </si>
  <si>
    <t xml:space="preserve">The proposed substation rebuild is needed to improve Reliability. This project, in combination with the Barre North End and Barre South substation upgrade, will standardize 12.47 kV distribution voltage for the area allowing for feeder backup, improved voltage performance and replacement of aged assets.   Presently the Websterville substation contains one 1969 vintage 7.5/10.5 MVA, 34.5 kV to 12.47 kV transformer that supplies three 12.47 kV circuits including the 61G1, GG2 and 61G3. The 12.47 kV transformer and circuits have limited capacity for feeder backup to area circuits. The entire wooden structure is old and decaying.  There are issues with bank stability and drainage. </t>
  </si>
  <si>
    <t>all seasons</t>
  </si>
  <si>
    <t>n/A  this is not load driven project</t>
  </si>
  <si>
    <t>5,500 KW         combined Barre S and Websterville = 14,500 KW, combined Websterville and Graniteville = 8,500 KW</t>
  </si>
  <si>
    <t>Distribution, Transmission</t>
  </si>
  <si>
    <t>&gt;2020</t>
  </si>
  <si>
    <t>GMP spending $200,000 on DVAR in 2018.   Reliability plan showed $5.0 million to $7.9 million including NPV of BESS together with both GMP and VEC substation costs.</t>
  </si>
  <si>
    <t>4.630 MVA in 2018  1/2/2018 7AM, approx 600 kW solar active, 2600 kW more proposed solar</t>
  </si>
  <si>
    <t>Varies</t>
  </si>
  <si>
    <t>n/a not load driven</t>
  </si>
  <si>
    <t>RECOMMENDATION:  Exclude from NTA given this project is not load driven and is for reliability and asset management.</t>
  </si>
  <si>
    <t xml:space="preserve">This project will convert Putney from 8 kV to 12.47 kV.  This upgrade will also address asset management issues within the substation.  GMP’s standard distribution system voltage is 12.47 /7.2 kV grounded wye. While a limited amount of 2.4 kV, 4.16 kV, and 8.3 kV distribution remains on the system, GMP has been steadily converting these voltages to the standard 12.47 kV.   The decision to convert a given circuit or area is considered on an individual basis and can be driven by a number of considerations including capacity constraints, the desire for feeder backup with adjoining substations, opportunities arising from the need to replace deteriorating plant, low voltage complaints, inadequate fault currents, and potential loss savings. 
Areas of non-standard voltages are deficient due to :
    -Poor efficiency and high energy losses due to outdated equipment and low operating voltages;
  - Little or no flexibility in providing service to customers;
  - No feeder backup option on most circuits;
  - Increase in equipment and infrastructure failure rates;
  - High cost in equipment maintenance; and
  - Limited spare equipment on the existing infrastructure.
</t>
  </si>
  <si>
    <t>RECOMMENDATION:  Exclude this project from NTA analysis given that the proposed upgrade is required to remedy asset management issues and improve feeder  performance.</t>
  </si>
  <si>
    <t>This project’s justification is primarily reliability.  This project will add two 69 kV high side breakers for the Dover transformer to provide enhanced protection for the two 69/12.47 kV transformers.  This project will also add five (5) sets of 668 amp line regulators to replace the existing bus regulation.  This will enhance substation voltage performance.</t>
  </si>
  <si>
    <t xml:space="preserve">Distribution </t>
  </si>
  <si>
    <t>RECOMMENDATION:  Exclude from NTA given this project is not load driven and is for reliability and improved voltage performance.</t>
  </si>
  <si>
    <t xml:space="preserve">The primary reason for completing is project is for reliability.  The project will entail installation of a new foundation for the Transformer., installation of a new 12.47kV Circuit Breaker and a security system. Old porcelain insulators will be replaced to make the substation a safer place to work.
</t>
  </si>
  <si>
    <t>Not load driven, although load has been close to top nameplate for years.</t>
  </si>
  <si>
    <r>
      <t>This project’s justification is primarily reliability.  The Carvers Falls transformer is 63 years old and one of the Company’s oldest distribution transformers.</t>
    </r>
    <r>
      <rPr>
        <b/>
        <sz val="11"/>
        <color theme="1"/>
        <rFont val="Calibri"/>
        <family val="2"/>
        <scheme val="minor"/>
      </rPr>
      <t xml:space="preserve">   </t>
    </r>
    <r>
      <rPr>
        <sz val="11"/>
        <color theme="1"/>
        <rFont val="Calibri"/>
        <family val="2"/>
        <scheme val="minor"/>
      </rPr>
      <t>This transformer is rated 1,500 KVA and is nearing capacity.  This transformer has had top loading of 1,460 in 2013.  A larger transformer will increase capability to serve new load and DER’s. This substation currently has no feeder backup.  The larger transformer will also provide higher fault currents enhancing protection and could possibly provide feeder backup to Fair Haven or Leicester circuits.</t>
    </r>
  </si>
  <si>
    <t>The primary reason for completing this Project is to improve reliability.  This substation is tapped off from a 37 mile long line between Middlesex and and Montpelier with inadequate remote line protection.  The upgrades to the substation would be comprised of  oil containment, 34.5kV circuit breakers, relay protection upgrade, yard expansion associated fence, ground grid, and communications.</t>
  </si>
  <si>
    <t>Transmission</t>
  </si>
  <si>
    <t>The primary reason for this project is reliability.  This project involves the installation of two SCADA controlled 3.6 MVAR capacitor banks at the GMP East St. Albans substation.   GMP engaged VELCO to complete a study for a proposed load increase in the St. Albans area.   The study identified low voltage in the St. Albans area with the loss of the St. Albans 115/34.5 kV source at existing loads.  These two capacitor banks are needed to provide voltage support during emergency contingency situations as well as during planned maintenance on the St Albans area 34.5 kV network.</t>
  </si>
  <si>
    <t>RECOMMENDATION:  Exclude from NTA given this project is not load driven and is for reliability during subtransmission contingency.</t>
  </si>
  <si>
    <t>The primary reason for completing this project is to improve reliability.  The upgrades to the substation would be comprised of adding two breakers, associated relaying and control house.  This will improve reliability to customers served out of Richmond and Bolton.</t>
  </si>
  <si>
    <t>RECOMMENDATION:  Exclude from NTA given this project is not load driven and is for reliability during subtransmission contingencies.</t>
  </si>
  <si>
    <t>RECOMMENDATION:  Exclude from NTA given this project is not load driven and is for reliability during subtransmission contingencies.  This was identified in the Rutland Reliability Study.</t>
  </si>
  <si>
    <t>The primary reason for this project is reliability.  This project involves the installation of two SCADA controlled 2.7 MVAR capacitor banks at the GMP Smithville substation.   GMP analysis for Rutland Area Reliability Study identified potential low voltage in the Ludlow area with the loss of the Cavendish to Smithville 46 kV line.  These two capacitor banks are needed to provide voltage support during emergency contingency situations as well as during planned maintenance on the Rutland to Ascutney 46 kV network.</t>
  </si>
  <si>
    <t>The primary reason for completing this project is to improve reliability.  The upgrades to the substation would be comprised of replacing an existing breaker and adding two new breakers, associated relaying, ground grid, fence, VT replacement, and control house.</t>
  </si>
  <si>
    <t>This project’s justification is primarily reliability.  VELCO’s analytical studies in support of its most recent Long Range Plan identified the Maple Avenue to Charlestown 46 kV path as potentially overloading under first contingencies at existing loads (i.e. loss of Lafayette Street to Maple Avenue), in violation of GMP criteria.</t>
  </si>
  <si>
    <t>RECOMMENDATION:  Exclude from NTA given this project is not load driven and is for reliability during contingency situations.</t>
  </si>
  <si>
    <t>RECOMMENDATION:  Exclude from NTA given this project is not load driven and is for reliability identified in VELCO CRVP.</t>
  </si>
  <si>
    <t xml:space="preserve">This page reserved for new and updated projects as identified by the distribution utility.  </t>
  </si>
  <si>
    <t>No Reliability</t>
  </si>
  <si>
    <t>Identified in the VELCO draft 2018 LRTP</t>
  </si>
  <si>
    <t>This primary reason for completing this project is Reliabilty.  The project is designed to address aging infrastructure. The existing pole assets are over 60 years old.</t>
  </si>
  <si>
    <t>This primary reason for completing this project is Reliabilty.  The project is designed o address aging infrastructure. The existing pole assets are over 60 years old.</t>
  </si>
  <si>
    <t>The primary reason for this project is reliability.    VELCO’s analytical studies in support of its 2015 Long Range Plan identified Mountain View to Berlin 34.5 kV path as potentially overloading under first contingencies  at existing loads (i.e. VELCO Barre 115/34.5kV source), in violation of GMP criteria.  In addition GMP analysis also shows this line has thermal deficiencies for feeder backup during peak loading.  When Mountain View #25 backs up Montpelier #3 or Berlin #40, there is the possibility that the 3325 conductor will exceed its rating of 17 MVA.  This limits our feeder backup capability for the area to spring and fall only. The existing pole assets are over 50 years old.</t>
  </si>
  <si>
    <t>RECOMMENDATION:  Exclude from NTA given this project is not load driven and is for asset management and reliability with loss of VELCO source and during distributon circuit transfers.</t>
  </si>
  <si>
    <t xml:space="preserve">The primary reason for completing this Project is to improve reliability.  This project eliminates two radial transmission lines and forms a 46 kV network between Hartford and Ryegate. The upgrades to the substation would be comprised of one transformer, oil containment, circuit breakers, relay protection upgrade and associated fence, ground grid, communications and security. </t>
  </si>
  <si>
    <t xml:space="preserve">This project's justification is primarily reliability and asset management. This line is over 50 years old. This project will reconductor the 10.55 miles of transmission line from Windsor to Taftsville (Line 105) to 795 ACSR conductor.  The existing line was determined to be overloaded by 124% at existing load levels, in the VELCO and ISO analysis.  This line is part of a 46kV transmission loop extending across Windsor County.  Studies conducted by ISO-NE and VELCO determined that upgrading an existing 115 kV line, supplemented with other component transmission and subtransmission upgrades, would be the most cost-effective solution to mitigate the identified concerns. In the 248 process, under Docket 8605, the need for this GMP line upgrade was identified in the CRVP filing.  The VELCO prefiled testimony stated "Related to these improvements, GMP will replace conductors for three 46 kV line sections: the East Middlebury to Smead Road line, the Bethel to East Barnard line and the Windsor to Taftsville line.” The VELCO study stated that the Windsor to Taftsville overload would cause the line to fail, which may result in the cascading failure of other 46 kV lines, and disconnect about 85 MW of load, assuming failure stops at Middlebury.
The PUC approved the VELCO CRVP, in its order in Docket No. 8605 dated June 9, 2016.  </t>
  </si>
  <si>
    <t>Late afternoon and evening</t>
  </si>
  <si>
    <t xml:space="preserve">35 MW (The combined top nameplate ratings of the three smallest transformers) </t>
  </si>
  <si>
    <r>
      <rPr>
        <sz val="12"/>
        <rFont val="Calibri"/>
        <family val="2"/>
      </rPr>
      <t>17.0 MW (2014 July 2014 18:30) 17.1 MW (2013 13:00 1PM 90/10</t>
    </r>
    <r>
      <rPr>
        <sz val="11"/>
        <rFont val="Calibri"/>
        <family val="2"/>
      </rPr>
      <t>)  16.6 MW (2012-50/50)  16.6 MW(8-18-2015, 8:00PM) 17.8 MW (8-11-2016, 8:00 PM) 24.0 MW (8-10-2017, 5:45 PM)</t>
    </r>
  </si>
  <si>
    <t>24.0 MW (2017)</t>
  </si>
  <si>
    <t xml:space="preserve">This area includes feeder ties between the Milton, West Milton, Georgia and Mallets Bay substations. In 2018, Mallets Bay was added to this area to enhance area feeder backup and load balancing among substations. The opportunity to include Mallets Bay arose from the merger of GMP and CVPS. GMP desires the ability to back up load for the loss of any one substation transformer. </t>
  </si>
  <si>
    <t>RECOMMENDATION: Remove from future consideration. Addition of Mallets Bay into the area relieves feeder back-up issues for the foreseeable future.</t>
  </si>
  <si>
    <t>With addition of Mallets Bay into the area, remove from future consideration.</t>
  </si>
  <si>
    <t>Recommendation: Hold off on GT until ski area plans become more firm.  No large ability to serve requests. No increase in winter loading.</t>
  </si>
  <si>
    <t>Recommendation:  Hold off on geotargeting, continue to monitor area.  Actual decrease in summer peak load.  Due to Solar impact this constraint is likely no longer a concern but will continue to monitor.</t>
  </si>
  <si>
    <t>2017 and 2018 YTD   740 KW</t>
  </si>
  <si>
    <t>Addressed by Airport substation</t>
  </si>
  <si>
    <t>TL= $2,800,000    DS= $2,250,000</t>
  </si>
  <si>
    <t>REVIEWED  VSPC 2017</t>
  </si>
  <si>
    <t>REVIEWED  VSPC 2018</t>
  </si>
  <si>
    <t>Transmission Substation and Transmission Line</t>
  </si>
  <si>
    <t>Legare</t>
  </si>
  <si>
    <t>Berlin</t>
  </si>
  <si>
    <t>Moretown</t>
  </si>
  <si>
    <t>Distribution Substation and Voltage Conversion</t>
  </si>
  <si>
    <t>Other lines with older assets so will be moved out in budget.</t>
  </si>
  <si>
    <t>North Brattleboro Rebuild</t>
  </si>
  <si>
    <t>2019- $200,000</t>
  </si>
  <si>
    <t>Updated 5/22/2019</t>
  </si>
  <si>
    <t>North Brattleboro Substation Upgrade</t>
  </si>
  <si>
    <t>To relieve these constraints, GMP will replace the substation cables with 1000 MCM copper cables. In addition, the existing 328 amp voltage regulators will be upgraded to 437 amp regulators and the 10/14 MVA transformer will be replaced with a 15/28 MVA unit. The larger substation and regulators will allow for greater flexibility with circuit ties during planned outages and contingencies.  The substation design will provide room for a future third circuit.</t>
  </si>
  <si>
    <t>All seasons- Feeder Backup</t>
  </si>
  <si>
    <t>Not load related</t>
  </si>
  <si>
    <t>RECOMMENDATION:  Exclude from NTA given this project is not load driven and is for reliability (feeder backup)  and asset management.</t>
  </si>
  <si>
    <t>The Moretown substation is located in Moretown and was constructed in 1966. It includes a 1.5 MVA 34.5 kV to 4.16 kV transformer, three 400 amp regulators and one 4.16 kV distribution feeder. Much of the substation equipment is aging and has reached the end of its useful. This project will convert Moretown to 12.47 kV.   GMP’s standard distribution system voltage is 12.47 /7.2 kV grounded wye. While a limited amount of 2.4 kV, 4.16 kV, and 8.3 kV distribution remains on the system, GMP has been steadily converting these voltages to the standard 12.47 kV.   The decision to convert a given circuit or area is considered on an individual basis and can be driven by a number of considerations including capacity constraints, the desire for feeder backup with adjoining substations, opportunities arising from the need to replace deteriorating plant, low voltage complaints, inadequate fault currents, and potential loss savings. 
Areas of non-standard voltages are deficient due to :
    -Poor efficiency and high energy losses due to outdated equipment and low operating voltages;
  - Little or no flexibility in providing service to customers;
  - No feeder backup option on most circuits;
  - Increase in equipment and infrastructure failure rates;
  - High cost in equipment maintenance; and
  - Limited spare equipment on the existing infrastructure.</t>
  </si>
  <si>
    <t xml:space="preserve">VSPC RECOMMENDATION:     GMP will continue to update group on progress of future proposed upgrades in Danby area being proposed  to remedy 46 KV radial exposure (improve reliability) and to improve reliabilty for Wallingford 23 circuit by building substation to decrease line miles served and provide feeder backup for the area.  Budgeted for year 2021/2022.  This is purely a reliability project.  </t>
  </si>
  <si>
    <t>Lowell Substation and Lowell to Johnson 34.5 KV Line, B22 Johnson to Morrisville</t>
  </si>
  <si>
    <t>The North Brattleboro substation contains a 14 MVA, 46 kV to 12.47 kV transformer, 328 amp voltage regulators, and two 12.47 kV distribution circuits. The distribution circuits each have 350 MCM copper underground cable getaways. The transformer is connected to the 12.47 kV bus by a 750 MCM copper underground cable. The existing 350 MCM copper underground cable getaways have summer ratings of 384 amps which constrain the ability of the North Brattleboro substation to backup area substation feeders. The 750 MCM copper underground cables have summer ratings of 619 amps which do not allow for full utilization of the capacity of the substation transformer. The Project will also include upgraded circuit breakers and larger (437 amp) regulators.    The existing transformer is showing bad DGA tests results indicating the unit is gassing and therefore is planned to be replaced with a 15//28 MVA transformer.   These upgrades will allow for greater flexibility with circuit ties during planned outages and contingencies. The primary reason for completing this Project is to provide greater area operating flexibility for feeder backup and to address asset management issues.</t>
  </si>
  <si>
    <r>
      <t xml:space="preserve">The Project consists of three components.  Upgrades are planned for two 34.5kV transmission lines, including the replacement of conductor wires and pole replacements.  First, GMP proposes line and pole replacement of approximately 18 miles between GMP Lowell and GMP Johnson Substations (B20 Line).  Second, GMP and MWL propose line and pole replacement of approximately 1.5 miles between GMP Johnson and MWL #3 Substation(B22 Line). This project will address aging infrastructure at Lowell Substation.  The rebuild of the Lowell Substation is needed to address asset management concerns, increase reliability and increase the SHEI limit.  Presently, the Lowell substation contains aged assets including a 1973 vintage transformer and breaker. The protection and control technologies are obsolete, utilizing electromechanical relaying.   The Lowell substation permits integration of the area’s 46 kV and 34.5 kV networks, providing greater connectivity and strength. GMP, the Vermont Electric Cooperative, and the Villages of Johnson, Morrisville, Stowe, Hardwick and North Hyde Park all have customers fed directly from, or off of other lines dependent on, this network. To maintain reliability of this network, the existing substation will remain in service until the new substation work is completed.  The reconductoring of the B20 and B22 lines will also address asset management and increase reliability.  The structure plant on the B20 line consists mostly of 1957  vintage poles and associated hardware.  These pole replacements are part of a systematic replacement program to upgrade these transmission line assets.  The B22 line consists mostly of 1962 and 1968 vintage poles and associated hardware.  Both lines will be reconductored with new and heavier  conductor. This </t>
    </r>
    <r>
      <rPr>
        <sz val="12"/>
        <rFont val="Calibri"/>
        <family val="2"/>
      </rPr>
      <t>Project will provide benefits in connection with the SHEI transmission constraints that are currently adversely impacting the economic benefits realized by customers from renewable generation in northern Vermont.  During times when the area is transmission constrained, generators can experience loss of market value from energy output, renewable energy certificates, and Production Tax Credits. This Project includes certain specific design components that are intended to mitigate the SHEI transmission constraints at modest incremental costs.</t>
    </r>
  </si>
  <si>
    <r>
      <t xml:space="preserve">The rebuild of the Lowell substation will require the expansion of the existing substation yard allowing for the installation of a new 30/40/50 MVA transformer, 46kV breaker, 34.5 kV breaker, and control house along with the necessary steel structures, switches, arresters and other standard equipment to replace the existing Lowell Substation.Both the B20 and B22 lines will be reconductored with new and heavier conductor.  The B20 will have 795 ACSR and the B22 will be 477 ACSR or equivalent.                                                                                                  In planning this Project, GMP considered alternatives, including the extent to which the asset maintenance concerns of this Project could be deferred or avoided by energy efficiency or distributed generation. For the aged and outdated components of this Project, because the proposed upgrades address asset maintenance concerns and reliability, these upgrades cannot be deferred or avoided by energy efficiency or distributed generation.  </t>
    </r>
    <r>
      <rPr>
        <b/>
        <sz val="12"/>
        <color indexed="8"/>
        <rFont val="Calibri"/>
        <family val="2"/>
      </rPr>
      <t xml:space="preserve">With respect to the components of this Project that are specifically designed to help alleviate SHEI transmission constraints, GMP and other Vermont utilities have considered a number of alternatives identified in the Northern Vermont Export Study prepared to address the SHEI constraint issue. </t>
    </r>
    <r>
      <rPr>
        <sz val="12"/>
        <color indexed="8"/>
        <rFont val="Calibri"/>
        <family val="2"/>
      </rPr>
      <t xml:space="preserve"> This Project represents a unique opportunity among those alternatives to meaningfully reduce SHEI congestion with modest incremental costs to existing reliability based projects.  Accordingly, this Project represents the least-cost alternative among the SHEI mitigation strategies considered.
</t>
    </r>
  </si>
  <si>
    <t>7976 kW   8/28/2018 1:30 PM</t>
  </si>
  <si>
    <t>The Berlin Substation feeds three circuits, 40G5, 40G6 and 40G7 and has a 34.5/12.47 kV 7500/10500 KVA 1970 vintage transformer.  The existing transformer is showing bad DGA tests results indicating the unit is gassing and therefore is planned to be replaced.  A temporary 12.47 kV structure was added to the yard to allow for conversion from 4.16KV to 12.47KV.  This temporary structure is still there.  This project addresses aging infrastructure, improves system operation, corrects deficiencies that do not meet current safety codes, and improves safety and reliability.</t>
  </si>
  <si>
    <t>RECOMMENDATION:  Exclude from NTA given this project is not load driven and is for reliability  and asset management.</t>
  </si>
  <si>
    <t>The Legare Substation feeds two circuits, 83G1 and 83G2 and has a 34.5/12.47 kV 3750/4200 KVA 1971 vintage transformer.  This substation is an aged wooden structure that needs to be rebuilt.  This project addresses aging infrastructure, improves system operation, corrects deficiencies that do not meet current safety codes, and improves safety and reliability.</t>
  </si>
  <si>
    <t>8/21/2018  12:45 PM 1829 KW</t>
  </si>
  <si>
    <t>Not Load Related</t>
  </si>
  <si>
    <t>This project consists of replacing the three 12.5kV vacuum reclosers with new12.5kV ABB RMAG  circuit breakers. The existing bus regulation will be replaced with circuit regulation.   The 3750/4200 KVA transformer will be replaced with a larger transformer for additional feeder backup capability  with Ryegate.</t>
  </si>
  <si>
    <t>This project consists of replacing the three 12.5kV vacuum reclosers with new12.5kV ABB RMAG  circuit breakers. The existing bus regulation will be replaced with circuit regulation.   The 7500/10500 KVA transformer will be replaced with a new unit.  The size will be dependent on feeder backup opportunities with Montpelier #3 and Barre North End #63.</t>
  </si>
  <si>
    <t>22.1 MW, 22.6 MVA (6PM 7/21/14);  23.96 MW, 24.6 MVA (6PM 2013);                                 25.45 MW (5PM 2011);  22.3 MW, 22.8 MVA (8-18-15, 7:00 PM) 24.6 MW (8-11-2016, 9:00 PM); 24.3 MW (8-22-2017, 4:00 PM); 28.6 MVA (7-2-2018, 6:00 PM)</t>
  </si>
  <si>
    <t>In 2019, there have been no new ATS determinations issued.</t>
  </si>
  <si>
    <t>28.6 MVA (7-2-2018, 6:00 PM)</t>
  </si>
  <si>
    <t>28 MW (Contingency); 35 MW (Equal Slope) and 42 MW (Load Growth)</t>
  </si>
  <si>
    <t>RECOMMENDATION:  As outlined in St. Albans Distribution Reliability Plan, continue to monitor this area to see impact (coincidence factor) of new ability to serve load on peak. Loads saw spike in 2018 due to severe weather leading to one hour of exposure above 28 MVA. This is still well below the Equal Slope criteria of 35 MW.</t>
  </si>
  <si>
    <t>Due to growth in ability to serve new load, ability to transfer load during contingency. St. Albans is served by three substations. GMP desires to be able to serve all load following the loss of any one substation. Equal slope criteria sets the level of upgrades at about 35 MW.</t>
  </si>
  <si>
    <t>Update 5/24/2019</t>
  </si>
  <si>
    <t>North Brattleboro Sub Upgrade</t>
  </si>
  <si>
    <t>Waterford Conversion</t>
  </si>
  <si>
    <t>Lowell Substation/B20/B22</t>
  </si>
  <si>
    <t>Moretown Substation Conversion</t>
  </si>
  <si>
    <r>
      <t>Capital upgrades recommended in Reliability Plan:  Close West Rutland B7 tie to VMPD, reconductor 46 KV West Rutland to Florence to 477 ACSR, permanently close line between Rutland and West Rutland.</t>
    </r>
    <r>
      <rPr>
        <b/>
        <sz val="11"/>
        <color theme="1"/>
        <rFont val="Calibri"/>
        <family val="2"/>
        <scheme val="minor"/>
      </rPr>
      <t xml:space="preserve">  </t>
    </r>
    <r>
      <rPr>
        <b/>
        <sz val="11"/>
        <color rgb="FFFF0000"/>
        <rFont val="Calibri"/>
        <family val="2"/>
        <scheme val="minor"/>
      </rPr>
      <t>In the CPG process Docket No. 8867.   All work is scheduled for completion end of 2019.</t>
    </r>
  </si>
  <si>
    <t>Updated 5/28/19</t>
  </si>
  <si>
    <t>Updated 5/28/2019</t>
  </si>
  <si>
    <t>248 Exhibit- $3,971,058</t>
  </si>
  <si>
    <t>248 Exhibit- $15,455,719</t>
  </si>
  <si>
    <t>248 Exhibit- $2,306,984</t>
  </si>
  <si>
    <t>248 Exhibit- $5,093,403</t>
  </si>
  <si>
    <t>Breaker and PT replacements</t>
  </si>
  <si>
    <t>REVIEWED  VSPC 2019</t>
  </si>
  <si>
    <t>Ascutney Transmission Substation Upgrade</t>
  </si>
  <si>
    <t>Londonderry Distribution Sub Upgrade</t>
  </si>
  <si>
    <t xml:space="preserve">The primary reason for this breaker and PT replacement project is reliability.  At the Ascutney substation, the existing 46kV breakers are 1950’s vintage GE FK which are nearing their end of life. This project replaces these three Oil Circuit Breakers as well as the 46 kV voltage transformers. These voltage instrument transformers were installed in 1970 and have exceeded the manufacturer’s life expectancy.  At the same time, the three breakers is controlled by 1980 vintage electro-mechanical relays.  The age and type of the relays makes them very difficult to maintain as they now fall out of calibration easier and spare parts are not readily available.  </t>
  </si>
  <si>
    <t>The 46kV breakers will be replaced with a vacuum type.  The existing control panels will be retrofitted to accommodate the new modern multi-function microprocessor relays.  All control wiring will be replaced.  This project consists of the installation of (3) 46kV Circuit breakers, (3) 46kV Line Voltage transformers with fuses and associated foundations , (3) relay and protection control panels and associated wiring, (1) cable trench system.This project consists of the installation of (3) 46kV Circuit breakers, (3) 46kV Line Voltage transformers with fuses and associated foundations , (3) relay and protection control panels and associated wiring, (1) cable trench system.</t>
  </si>
  <si>
    <t xml:space="preserve">RECOMMENDATION:  Exclude from NTA given this project is not load driven and is for reliability and like in kind replacement for asset management. </t>
  </si>
  <si>
    <t>Ascutney</t>
  </si>
  <si>
    <t>Londonderry</t>
  </si>
  <si>
    <t>Updated 5/20/2020</t>
  </si>
  <si>
    <r>
      <t>RECOMMENDATION RELIABILITY PLAN 2016: Based on GMP reliability plan, install a BESS together with a new GMP/VEC substation.</t>
    </r>
    <r>
      <rPr>
        <sz val="11"/>
        <rFont val="Calibri"/>
        <family val="2"/>
        <scheme val="minor"/>
      </rPr>
      <t xml:space="preserve">  2019</t>
    </r>
    <r>
      <rPr>
        <sz val="11"/>
        <color theme="1"/>
        <rFont val="Calibri"/>
        <family val="2"/>
        <scheme val="minor"/>
      </rPr>
      <t>- GMP added a DVAR distribution line device (AMSC) to address motor starting for Tier 3 customer.</t>
    </r>
    <r>
      <rPr>
        <b/>
        <sz val="11"/>
        <color rgb="FFFF0000"/>
        <rFont val="Calibri"/>
        <family val="2"/>
        <scheme val="minor"/>
      </rPr>
      <t xml:space="preserve"> GMP has been monitoring  area load growth to aid in the decision of when and where to construct the BESS.   Loads have not grown in recent years, with the 2019 peak being 5.32 MVA compared to the 2015 peak at 5.91 MVA.  GMP will continue to monitor the magnitude and location of area load growth.  Due to higher priority projects, GMP will defer the BESS, including purchasing property, until area load growth materializes.
</t>
    </r>
    <r>
      <rPr>
        <sz val="11"/>
        <color theme="1"/>
        <rFont val="Calibri"/>
        <family val="2"/>
        <scheme val="minor"/>
      </rPr>
      <t xml:space="preserve">
</t>
    </r>
  </si>
  <si>
    <t xml:space="preserve">This project consists of replacing the two 12.5kV vacuum circuit breakers at Londonderry Sub with new  12.5kV ABB RMAG  circuit breakers. The existing electromechanical protective relays will be replaced with new microprocessor based protective relays housed in a new outdoor relay cabinet. New conduit and control cablles will be installed. Security cameras will be added to the security system. A new RTU will be installed at this time. </t>
  </si>
  <si>
    <t xml:space="preserve">This project consists of replacing two 1970 vintage 12.5kV vacuum circuit breakers and their electromechanical protective relays, and one RTU at the Londonderry Substation .     Reliability is being improved with replacement of like in-kind equipment at the end of its useful life.
</t>
  </si>
  <si>
    <t>RECOMMENDATION:  Exclude from NTA given this project is not load driven and is for reliability and like in kind replacement for asset management.</t>
  </si>
  <si>
    <t>VSPC Further screening (Yes/No)</t>
  </si>
  <si>
    <t>No (Asset Management, Reliability and SHEI)</t>
  </si>
  <si>
    <t>REVIEWED  VSPC 2020</t>
  </si>
  <si>
    <t>T&amp;D Substation</t>
  </si>
  <si>
    <t xml:space="preserve">Castleton Substation </t>
  </si>
  <si>
    <t>Lowell Sub/Line</t>
  </si>
  <si>
    <t>Castleton</t>
  </si>
  <si>
    <t>Transmission &amp; Distribution Substation</t>
  </si>
  <si>
    <t>Updated May 12, 2020</t>
  </si>
  <si>
    <t>The upgrades for the Castleton Substation are needed to address asset management and increase reliability for the Castleton area. GMP has been planning to upgrade this substation. GMP experienced a transformer failure at the Castleton Substation on June 9, 2020. The failed transformer was a 1963 vintage 3.7/5.25 MVA unit. GMP did not have a spare 3.75/5.25 MVA unit to replace it with, and a portable substation was installed to carry the load normally fed out of the Castleton G-37 circuit.  At this time, GMP started the process of planning a Section 248 Certificate of Public Good petition to install a larger unit at the Castleton Substation to provide full feeder backup capability for the Hydeville Substation and to address the asset management concerns.  On August 7, 2020, a Dissolved Gas Analysis (DGA) on the portable substation installed at the Castleton Substation showed high levels of acetylene indicating arcing within the transformer. The levels were high enough to warrant an immediate installation of a new transformer at Castleton so the portable could be taken out of service. Since we did not have a 3.75/5.25 MVA transformer, we installed the next available size, a 5/7 MVA Transformer.  GMP then filed a waiver pursuant to section 248(k) for the emergency installation of the 5/7 MVA transformer and the Commission granted that waiver on September 17, 2020 in Case No. 20-2252-PET.  This Project will address the need to keep the 5/7 MVA transformer at the Castleton Substation and to upgrade equipment to improve system reliability and operability.</t>
  </si>
  <si>
    <t>The upgrades to the Castleton Substation will include one new 15 kV circuit breaker, three larger circuit regulators, a motor operated load break switch, security and upgrade of the existing battery bank, ground grid and oil containment.  The Castleton G37 breaker is a 1966 vintage GE VIB.    This breaker replacement will improve reliability to the Castleton G37 distribution circuit.  The larger circuit regulators will allow Castleton G37 to provide feeder backup to other area substations.The Castleton circuit regulators have limited capacity for backing up other local substations. The Castleton G-37 circuit will have circuit regulation (3 regulators in total) upgraded from 219 amp regulators to 328 amp regulators to enhance feeder backup capability. The Castleton G-37 circuit has ties that can accommodate feeder backup with other area substations including Hydeville G-24 and Poultney G-27.  The larger 328 amp circuit regulators match the substation transformer capability and will thereby provide greater area operating flexibility and improve reliability for the Castleton area.</t>
  </si>
  <si>
    <t>Castleton Substation Upgrade</t>
  </si>
  <si>
    <r>
      <rPr>
        <sz val="12"/>
        <rFont val="Calibri"/>
        <family val="2"/>
        <scheme val="minor"/>
      </rPr>
      <t xml:space="preserve">41.27 MVA(12/7/15 15:30)  </t>
    </r>
    <r>
      <rPr>
        <sz val="11"/>
        <rFont val="Calibri"/>
        <family val="2"/>
        <scheme val="minor"/>
      </rPr>
      <t xml:space="preserve">  SUMMER 36.3 MVA (7/30/15 14:00)  35.4 MVA (8/11/16 14:00) </t>
    </r>
    <r>
      <rPr>
        <sz val="11"/>
        <color theme="1"/>
        <rFont val="Calibri"/>
        <family val="2"/>
        <scheme val="minor"/>
      </rPr>
      <t xml:space="preserve">2017 peak 10/7/17 6:15 PM 23.7 MW   Approx 8 MW of solar active, another 700 kW proposed. </t>
    </r>
    <r>
      <rPr>
        <sz val="11"/>
        <color rgb="FFFF0000"/>
        <rFont val="Calibri"/>
        <family val="2"/>
        <scheme val="minor"/>
      </rPr>
      <t xml:space="preserve"> 2018 Peak 8/30/2018 10:30 AM 34.3 MW. 2020 peak 35 MW.</t>
    </r>
  </si>
  <si>
    <r>
      <rPr>
        <sz val="11"/>
        <rFont val="Calibri"/>
        <family val="2"/>
        <scheme val="minor"/>
      </rPr>
      <t xml:space="preserve">72.5 MW (12/28/15 17:45)                   73.4 MW (1/18/2013 16:00)   </t>
    </r>
    <r>
      <rPr>
        <sz val="11"/>
        <color rgb="FFFF0000"/>
        <rFont val="Calibri"/>
        <family val="2"/>
        <scheme val="minor"/>
      </rPr>
      <t xml:space="preserve">                                     </t>
    </r>
    <r>
      <rPr>
        <sz val="11"/>
        <rFont val="Calibri"/>
        <family val="2"/>
        <scheme val="minor"/>
      </rPr>
      <t xml:space="preserve"> Peak winter 12/29/17 72.3 MW2017: </t>
    </r>
    <r>
      <rPr>
        <sz val="11"/>
        <color rgb="FFFF0000"/>
        <rFont val="Calibri"/>
        <family val="2"/>
        <scheme val="minor"/>
      </rPr>
      <t>GMP is in regular contact with the Stratton and Bromley ski areas. No expansions are imminent; there has been little growth  (ability to serves) along the Southern Loop. 2020 Peak:  1/17/20 9:45 65MW</t>
    </r>
  </si>
  <si>
    <r>
      <t xml:space="preserve">116 MW July 2013  (2014 Peak was lower) (2015 peak: 118 MW on July 30 at 11:45 AM) 2016 summer peak was 105 MW  GMP will continue to monitor loads once RARP is in final configuration. </t>
    </r>
    <r>
      <rPr>
        <sz val="11"/>
        <color rgb="FFFF0000"/>
        <rFont val="Calibri"/>
        <family val="2"/>
        <scheme val="minor"/>
      </rPr>
      <t>2021: Load remains flat.</t>
    </r>
  </si>
  <si>
    <r>
      <t xml:space="preserve">5.6 MW 1/2/2014 18:00, 5.91 MW  1/7/2015 18:00  and 5.9 9/8/15 20:00 2016 6.0 MW        2017 Peak 12/31/17 17:45 5.32 KVA </t>
    </r>
    <r>
      <rPr>
        <b/>
        <sz val="11"/>
        <color rgb="FFFF0000"/>
        <rFont val="Calibri"/>
        <family val="2"/>
        <scheme val="minor"/>
      </rPr>
      <t xml:space="preserve">  </t>
    </r>
    <r>
      <rPr>
        <sz val="11"/>
        <rFont val="Calibri"/>
        <family val="2"/>
        <scheme val="minor"/>
      </rPr>
      <t>2018-YTD PEAK:7/2/2018 8AM 5.55 MW   2019- 5.32 MW 2021-5.81MVA (8/26/21 7:45PM</t>
    </r>
  </si>
  <si>
    <t>REVIEWED  VSPC 2021</t>
  </si>
  <si>
    <t>Reliability Plan 2015, Monitor</t>
  </si>
  <si>
    <t>Final sub upgrade Barre Area. PUC approval in Case No. 18-4121-PET dated May 15, 2019. Commissioned September 2020.</t>
  </si>
  <si>
    <t>Uprate Study completed for a large Solar project.</t>
  </si>
  <si>
    <t>Reliability plan filed 2014. Treat the same as other areas w.r.t. load growth.</t>
  </si>
  <si>
    <t>Reliability to address radial transmission. Study completed. Project under assessment.</t>
  </si>
  <si>
    <t>Related reliability project to address radial transmission. Study paused; to be completed closer to year of construction to avoid stale data. Collaboration with NGrid required.</t>
  </si>
  <si>
    <t>248 Exhibit- $1,847,695</t>
  </si>
  <si>
    <t>Not in Budget</t>
  </si>
  <si>
    <t>&gt;2025</t>
  </si>
  <si>
    <t xml:space="preserve"> Beyond 2025</t>
  </si>
  <si>
    <t>Bolton 41</t>
  </si>
  <si>
    <t>Fiscal Year 2024</t>
  </si>
  <si>
    <t>East Arlington Sub Upgrades</t>
  </si>
  <si>
    <t>248 Exhibit-$4,110,330</t>
  </si>
  <si>
    <t>PUC approval in Case No. 18-2910-PET dated April 5, 2019.  Substation completed September 2020. Distribution line work in progress.</t>
  </si>
  <si>
    <t>248 Exhibit- $763,367</t>
  </si>
  <si>
    <t>PUC approval in Case No. 21-3966-PET 5/24/21.  In Service date is November 2021.</t>
  </si>
  <si>
    <t>Transmission Sub/Lines</t>
  </si>
  <si>
    <t>Killington Area</t>
  </si>
  <si>
    <t>Beta Substation</t>
  </si>
  <si>
    <t>248 Exhibit- $4,397,723</t>
  </si>
  <si>
    <t>Berlin GT Upgrades</t>
  </si>
  <si>
    <t>Middlesex Sub Breaker</t>
  </si>
  <si>
    <t>West Dummerston</t>
  </si>
  <si>
    <t>Fairfax</t>
  </si>
  <si>
    <t>North Rutland</t>
  </si>
  <si>
    <t>Line 60</t>
  </si>
  <si>
    <t>Updated May 23, 2022</t>
  </si>
  <si>
    <t>Berlin Gas Turbine Substation</t>
  </si>
  <si>
    <t xml:space="preserve">  </t>
  </si>
  <si>
    <t>The project is necessary at this time to improve the reliability for this substation and GMP’s transmission system by proactively addressing asset management concerns by replacing obsolete equipment in the Berlin GT# 5 Substation.                                            The three existing 34.5kV circuit breakers to be replaced are over 50 years old (1971 vintage), placing them past their useful life expectancy.  This style of breaker is no longer supported by the manufacturer and spare parts are difficult and expensive to obtain leading to reliability concerns.  
The 1970’s vintage line instrument transformers are being replaced with GMP’s standard pedestal mounted fused line instrument transformers. The design life expectancy of this style of VT is 40 years per the manufacturer. GMP has had failures of this style of VT with the earliest failure occurring after 36 years of service and is proactively replacing them prior to a possible failure in the near future.
This existing RTU is a 2000’s vintage electronic technology which is no longer supported by the vendor.  Furthermore, the RTU communicates with the master SCADA front end processor (FEP) located in the Systems Operations Headquarters.  The FEP is a server of the same vintage as the RTU which is also no longer supported. The replacement of the RTU is appropriate at this time to address reliability concerns and is part of GMP’s plan for an orderly replacement of early vintage unsupported RTUs with few spare parts available.  Failure of the SCADA FEP will result in loss of SCADA to as many as twenty facilities. The FEPs cannot be replaced until all RTUs of that vintage have been upgraded.  In an effort to migrate from the older unsupported technology, GMP is planning to replace these RTUs, allowing the migration to new technology utilizing digital communication between the master station and field devices.   
Reliability is being improved with replacement of like in-kind remote terminal units.  The new remote terminal units are microprocessor based and interface with the modern SCADA master system.</t>
  </si>
  <si>
    <t>Middlesex Substation</t>
  </si>
  <si>
    <r>
      <rPr>
        <sz val="11"/>
        <rFont val="Calibri"/>
        <family val="2"/>
        <scheme val="minor"/>
      </rPr>
      <t>The primary reason for this project is to improve reliability to the Middlesex Substation by replacing the existing 33F1 fuses with a 34.5kV vacuum circuit breaker. The Middlesex #2 substation 33F1 fuses, fed off the Middlesex 34.5 kV bus and protecting the Middlesex 2.4 kV bus feeding the 2H2 distribution circuit and two hydro generators, will be replaced with a new vacuum breaker with microprocessor based relays with protection schemes that include bus differential relaying and breaker failure protection to the Middlesex substation. The battery bank will be increased in size to accommodate the new breaker and equipment.  The project also replaces the existing Remote Terminal Unit (RTU) as the existing RTU is using older technology with limited functionality for newly added equipment remote monitoring and control.  This Project is being done in coordination with an electrical modernization project of the Middlesex #2 Hydro station.</t>
    </r>
    <r>
      <rPr>
        <sz val="11"/>
        <color theme="1"/>
        <rFont val="Calibri"/>
        <family val="2"/>
        <scheme val="minor"/>
      </rPr>
      <t xml:space="preserve">                                                                                                                   </t>
    </r>
  </si>
  <si>
    <t>The project is necessary at this time to improve reliability by preventing the possibility of single phasing the two hydro synchronous generators by replacing the existing 34.5kV fuses with a 34.5kV vacuum circuit breaker. GMP’s standard requires three-phase switching for the protection of induction and synchronous generators.  This prevents damage to the generator, as well as for the substation equipment. The new 34.5kV circuit breaker will have microprocessor-based relays that offer greater flexibility in protection and reclosing schemes.   
There are existing reliability concerns associated with the RTU.  This project is part of GMP’s plan for an orderly replacement of 1990 vintage and older unsupported RTUs with few spare parts available.  The replacement of this equipment will help prevent unplanned outages due to equipment failure that might otherwise occur.   This is considered a like in-kind replacement of obsolete equipment for improved reliability preventing the loss of load and hydro production.</t>
  </si>
  <si>
    <t>Why is the project necessary at this time?</t>
  </si>
  <si>
    <t>Why is this project necessary at this time?</t>
  </si>
  <si>
    <t>Not load related.</t>
  </si>
  <si>
    <t>East Arlington Substation</t>
  </si>
  <si>
    <t>West Dummerston Substation</t>
  </si>
  <si>
    <r>
      <rPr>
        <sz val="11"/>
        <rFont val="Calibri"/>
        <family val="2"/>
        <scheme val="minor"/>
      </rPr>
      <t>The primary reason for this project is to improve the reliability for the East Arlington Substation by addressing aging infrastructure. This project consists of replacing one 1969 vintage 12.5kV vacuum circuit breakers and the electromechanical protective relays, and one RTU.  The existing 900 KVAR capacitor bank will be removed.   Reliability is being improved with replacement of like in-kind equipment at the end of its useful life.</t>
    </r>
    <r>
      <rPr>
        <sz val="11"/>
        <color theme="1"/>
        <rFont val="Calibri"/>
        <family val="2"/>
        <scheme val="minor"/>
      </rPr>
      <t xml:space="preserve">                                                                                                           </t>
    </r>
  </si>
  <si>
    <r>
      <rPr>
        <sz val="11"/>
        <rFont val="Calibri"/>
        <family val="2"/>
        <scheme val="minor"/>
      </rPr>
      <t>The primary reason for this project is to improve the reliability for the West Dummerston Substation by addressing aging infrastructure. This project consists of replacing one 1970 vintage 12.5kV vacuum circuit breakers and its electromechanical protective relays, a 1993 vintage capacitor switching device that does not meet current code due to clearance and an obsolete RTU.  Reliability is being improved with replacement of like in-kind equipment at the end of its useful life.</t>
    </r>
    <r>
      <rPr>
        <sz val="11"/>
        <color theme="1"/>
        <rFont val="Calibri"/>
        <family val="2"/>
        <scheme val="minor"/>
      </rPr>
      <t xml:space="preserve">                                                                                                           </t>
    </r>
  </si>
  <si>
    <t>Fiscal Year 2026</t>
  </si>
  <si>
    <t>North Rutland Substation</t>
  </si>
  <si>
    <t>GMP completed Reliability Study for Killington Area</t>
  </si>
  <si>
    <r>
      <rPr>
        <sz val="11"/>
        <rFont val="Calibri"/>
        <family val="2"/>
        <scheme val="minor"/>
      </rPr>
      <t xml:space="preserve">The primary reason for this project is to address asset management concerns which will increase reliability in the area. Presently, the North Rutland Substation contains obsolete T&amp;D equipment, including the, B4, B5, B6 and B14 46kV circuit breakers.  The B5 breaker is FKA style 1969 vintage and the other three are FK style late 1950's vintage.  All four will beplaced with 46 kV vacuum circuit breakers. The associated relay and control panels are equipped with obsolete microprocessor technology and will be replaced with new panels with modern microprocessor based technology. Additionally, the existing ground grid, fence and control house will all be upgraded, along with installation of updated security. </t>
    </r>
    <r>
      <rPr>
        <sz val="11"/>
        <color theme="1"/>
        <rFont val="Calibri"/>
        <family val="2"/>
        <scheme val="minor"/>
      </rPr>
      <t xml:space="preserve">   The radial bus configuration will be replaced with a breaker and a half configuration to improve reliability and flexibility for maintenance.   The upgrades to the distribution portion of the substation include replacing the existing 1969 vintage distribution circuit breakers with new breakers and microprocessor based relays.  In addition the 1969 10/14 MVA distribution transformer will be replaced with a 15/28 MVA unit and the distribution circuit regulators will be upgraded from 328 amp to 546 amp regulators.                           </t>
    </r>
  </si>
  <si>
    <t xml:space="preserve">The project is necessary at this time to improve the reliability for this substation and GMP’s transmission system by proactively addressing asset management concerns by replacing obsolete equipment in the North Rutland Substation.                                            The four vintage existing 46kV circuit breakers to be replaced are all over 50 years old, placing them past their useful life expectancy. The three FK type Breakers are a three tank, oil circuit breaker.  This style of breaker is no longer supported from the manufacturer and spare parts are difficult and expensive to come by leading to reliability concerns.   The FKA is a single tank oil circuit breaker.  GMP has experienced five failures of this type of breakers in the last 15 years, attributed to various reasons including internal tank faults, moisture ingress and bearing failures. Reliability concerns with the single-tank oil circuit breaker have risen over the years due to internal faults, mainly during cold weather conditions.  The standard radial bus configuration will be replaced with a breaker and a half configuration given there is already six transmission elements.  Advantages include flexible operation, higher reliability, maintainability and a bus fault does not interrupt service and all switching done with breakers. 
The existing 1969 vintage distribution circuit breakers will be replaced with new vacuum circuit breakers. The distribution breakers are being replaced as they are no longer supported by the manufacturer and replacement parts are not available. The new circuit breakers will have microprocessor based relays that will reduce fault-clearing times and have advanced features that are better suited for communication based tripping and for any required communications to Distributed Energy Resources (DER’s) installed on the distribution feeders. Additionally, the microprocessor-based relays offer greater flexibility in protection and reclosing schemes.  They have the ability to provide fault distance and event reports for restoration purposes. 
The larger transformer and regulators will allow for improved feeder backup capability with the other area substations, including Lalor Avenue and East Rutland.  The substation upgrades will increase DG interconnection and load capability.  </t>
  </si>
  <si>
    <t xml:space="preserve">Killington Area </t>
  </si>
  <si>
    <t>Increased Load Capabability is Ancillary Benefit of this Reliability Project.</t>
  </si>
  <si>
    <t xml:space="preserve"> Transmission Lines and T&amp;D Substations</t>
  </si>
  <si>
    <t>PROPOSED PROJECT</t>
  </si>
  <si>
    <t>&gt;$30 Million</t>
  </si>
  <si>
    <t>Capital upgrades recommended in Reliability Plan: Construct 5.1 miles of second 46 kV line from North Rutland to Mendon, Construct 9.75 miles of new 46 kV line connecting Mendon to Sherburne, Install a 46/34.5 kV 15/28 MVA transformer at Sherburne, construct a 2.3 mile 34.5 kV line from Sherburne to Snowshed, add a second 46/34.5 kV 15/28 MVA transformer at Mendon Substation.  See diagram below.</t>
  </si>
  <si>
    <r>
      <rPr>
        <sz val="11"/>
        <rFont val="Calibri"/>
        <family val="2"/>
        <scheme val="minor"/>
      </rPr>
      <t>The primary reason for this project is to improve the reliability for the Killington Area subtransmisson that feeds 33 MW, including one of GMP's largest customers.  The area loads are presently fed from two radial taps on different parts of the GMP 46 kV system:</t>
    </r>
    <r>
      <rPr>
        <sz val="11"/>
        <color theme="1"/>
        <rFont val="Calibri"/>
        <family val="2"/>
        <scheme val="minor"/>
      </rPr>
      <t xml:space="preserve">  the 46 kV feed from Sherburne Tap to Sherburne Substation and the 46 kV feed from Mendon Tap to Mendon and Snowshed Substations.     N-1 contingency can lead to voltage collapse and/or lost load.  There is limited feeder backup for winter periods and limited ability to add new loads to area substations (Mendon, Sherburne and Snowshed).  Twelve solution alternatives were studied including traditional transmission infrastructure upgrades as well as a reactive dynamic device (i.e. synchronous condenser) and Battery Energy Storage System (BESS).  Synchronous Condensers sizes ranged from 8 to 29 MVAR’s.  The BESS analysis considered battery systems sized 2 MW/8MWH, 8 MW/32 MWH and an 11 MW/44 MWH.  Two alternatives included Synchronous Condensers and BESS combined with traditional infrastructure upgrades.     The chosen upgrade networks the existing radial systems, provides complete N-1 subtransmission contingency coverage, improves feeder backup capability, provides least cost option to address all reliability deficiencies and results in decreased losses for GMP and the State of Vermont.</t>
    </r>
  </si>
  <si>
    <t>L60 Reconfiguration  (Legacy VMPD Subtransmission Lines Study)</t>
  </si>
  <si>
    <t>RECOMMENDATION:  Exclude from NTA given this project is for reliability benefit associated with eliminating radial 46 kV subtransmission andtherefore screens out of the 7081 NTA screening tool.</t>
  </si>
  <si>
    <t>Bolton 41 Substation</t>
  </si>
  <si>
    <r>
      <rPr>
        <sz val="11"/>
        <rFont val="Calibri"/>
        <family val="2"/>
        <scheme val="minor"/>
      </rPr>
      <t xml:space="preserve">This project will refeed the Belden and Huntington Hydro substations by connecting Line 60 Pole 113 to Line 77 Pole 17 near VELCO Middlebury.  Motor Operators will be added at the junction of these two lines.  This project will allow for the decommissioning of a nine-mile section of subtransmission line between Belden Substation and Salisbury on L60 Pole 114-288.  </t>
    </r>
    <r>
      <rPr>
        <sz val="11"/>
        <color theme="1"/>
        <rFont val="Calibri"/>
        <family val="2"/>
        <scheme val="minor"/>
      </rPr>
      <t xml:space="preserve">                                                                                    </t>
    </r>
  </si>
  <si>
    <t>The existing system consists of a 14 mile 46 kV line from Huntington Falls hydro from  Line 60 P 1 to P288 where the line splits to go another 13 miles to VELCO Florence (normal feed) or .24 miles to a normally open point approximately 2 miles to Smead Road.  The proximity of this line to other 46 kV lines provides opportunity to reduced reliability exposure, reduced maintenance expenses, enhanced aesthetics, improved system connectivity and lower system losses.  GMP also considered connecting the Huntington and Belden hydro units directly to the VELCO Middlebury substation by constructing a .7 mile 46 kV line and utililizing an existing open bay.  This configuration also would allow for decomissioning of 9 miles of line, however exceeded costs of proposed project.  The portion of the line being decomissioned has a number of 1950's and 1960's vintage poles that would have needed to be replaced.</t>
  </si>
  <si>
    <t>Customer Load</t>
  </si>
  <si>
    <t xml:space="preserve"> TBD</t>
  </si>
  <si>
    <t>Fairfax Substation</t>
  </si>
  <si>
    <t xml:space="preserve">Transmission &amp; Distribution Substation  </t>
  </si>
  <si>
    <t>Unknown</t>
  </si>
  <si>
    <r>
      <rPr>
        <sz val="11"/>
        <rFont val="Calibri"/>
        <family val="2"/>
        <scheme val="minor"/>
      </rPr>
      <t xml:space="preserve">The primary reason for this project is to address asset management concerns which will increase reliability in the area. Presently, the Berlin GT Substation contains obsolete equipment, including the 3303, 3325 and 3326 34.5 kV circuit breakers which are all 1971 vintage and will be replaced with 34.5 kV vacuum circuit breakers. The existing line voltage transformers (VT’s) are 1973 vintage and will be replaced with GMP’s standard pedestal mounted fused line VT’s. The existing substation Remote Terminal Unit (RTU) will be replaced.  Additionally, the existing ground grid will be upgraded, along with installation of security cameras. </t>
    </r>
    <r>
      <rPr>
        <sz val="11"/>
        <color theme="1"/>
        <rFont val="Calibri"/>
        <family val="2"/>
        <scheme val="minor"/>
      </rPr>
      <t xml:space="preserve">                                                                                                                                    </t>
    </r>
  </si>
  <si>
    <t>This project will address equipment reliability by replacing aging equipment and addressing any clearance issues  which will improve substation safety and operability. This Project is a complete rebuild of the Bolton 41 substation incorporating GMP’s current standards and practices.                                                                                                        This project replaces the 50 year old tranformer which has had gas analysis show too much water in the oil.  This unit also has a nonstandard low side rating of 13.8 kV.  The new transformer will be our standard 34.5/12.47 kV. The substation 328 amp regulators will be increased to 438 amps to allow for maximum utilization of the substation capacity.  The existing regulators will be returned to stock.  This will improve feeder backup capabiity to the Richmond subsattion.  This project consists of replacing one 12.5kV recloser at Bolton with a new  12.5kV ABB RMAG  circuit breaker.   The new circuit breaker will have microprocessor based relays that will reduce fault-clearing times and have advanced features that are better suited for communication based tripping and for any required communications to Distributed Energy Resources (DER’s) installed on the distribution feeders. Additionally, the microprocessor-based relays offer greater flexibility in protection and reclosing schemes.  They have the ability to provide fault distance and event reports for restoration purposes. 
There are existing reliability concerns associated with the RTU.  This project is part of GMP’s plan for an orderly replacement of 1990 vintage and older unsupported RTUs with few spare parts available.  The replacement of this equipment will help prevent unplanned outages due to equipment failure that might otherwise occur.   This is considered a like in-kind replacement of obsolete equipment for improved reliability preventing the loss of load.  The redesign of the high side with in/out feeds will improve reliabilty to the substation, allowing the sectionalization of a fault on either the Richmond or Bolton Falls side of substation to maintain service to the substation.</t>
  </si>
  <si>
    <r>
      <rPr>
        <sz val="11"/>
        <rFont val="Calibri"/>
        <family val="2"/>
        <scheme val="minor"/>
      </rPr>
      <t>The primary reason for this project is to improve the reliability for the Bolton 41 Substation by addressing aging infrastructure. This project will replace the 1972 vintage 7.5/10.5 MVA transformer with a new transformer of the same size. The three 328 amp regulators will be upgraded to 438 amp regulators.  This project consists of replacing the 12.5kV recloser with a circuit breaker, and replacing the</t>
    </r>
    <r>
      <rPr>
        <sz val="11"/>
        <color rgb="FFFF0000"/>
        <rFont val="Calibri"/>
        <family val="2"/>
        <scheme val="minor"/>
      </rPr>
      <t xml:space="preserve"> </t>
    </r>
    <r>
      <rPr>
        <sz val="11"/>
        <rFont val="Calibri"/>
        <family val="2"/>
        <scheme val="minor"/>
      </rPr>
      <t>RTU with an Orion LX.  Reliability is being improved with replacement of like in-kind equipment at the end of its useful life.</t>
    </r>
    <r>
      <rPr>
        <sz val="11"/>
        <color theme="1"/>
        <rFont val="Calibri"/>
        <family val="2"/>
        <scheme val="minor"/>
      </rPr>
      <t xml:space="preserve"> The substation high side will be redesigned from a radial tap to an in/out feed into the substation.  This will require two switching devices on steel structures for sectionalization.  The yard will be constructed with new fencing, ground grid and security. There will be room alloted to accomodate future portable within the substation.                                                                                      </t>
    </r>
  </si>
  <si>
    <t>This project will address equipment reliability by replacing aging equipment and addressing any clearance issues  which will improve substation safety and operability. Construction will incorporate GMP’s current standards and practices.  The Fairfax substation is nearly 80 years old and is characterized by very tight clearances.  Reliability is being improved with replacement of like in-kind equipment at the end of its useful life.   A number of the transmission circuit breakers to be replaced are 40 years old, placing them past their useful life expectancy. The FKA type breakers are single-tank breakers that are no longer supported from the manufacturer and spare parts are difficult and expensive to come by leading to reliability concerns. GMP has experienced five failures of this type of breaker in the last 15 years, attributed to various reasons including internal tank faults, moisture ingress and bearing failures. Reliability concerns with the single-tank oil circuit breaker have risen over the years due to internal faults, mainly during cold weather conditions.
The existing 1984 vintage distribution circuit breakers will be replaced with new vacuum circuit breakers. The new circuit breakers will have microprocessor based relays that will reduce fault-clearing times and have advanced features that are better suited for communication based tripping and for any required communications to Distributed Energy Resources (DER’s) installed on the distribution feeders. Additionally, the microprocessor-based relays offer greater flexibility in protection and reclosing schemes.  They have the ability to provide fault distance and event reports for restoration purposes. The larger transformer, and the use of feeder regulation will increase DG interconnection and load capability. There are existing reliability concerns associated with the RTU.  This project is part of GMP’s plan for an orderly replacement of 1990 vintage and older unsupported RTUs with few spare parts available.  The replacement of this equipment will help prevent unplanned outages due to equipment failure that might otherwise occur.</t>
  </si>
  <si>
    <t>RECOMMENDATION:  Given the uncertainty of the possibility, level, and timing of new load, GMP recommends no further analysis at this time.</t>
  </si>
  <si>
    <t>BETA is an electric airplane startup company located at the Burlington airport. Preliminary discussions between GMP and BETA indicate that BETA could grow to 10 MVA of load. The existing substation and distribution infrastructure in the area could not supply this level of load absent construction of a new substation with two dedicated feeders to BETA. If this level of load were to materialize, GMP would construct a new three-feeder substation using a 15/28 MVA transformer. Two feeders would be dedicated to BETA. The third feeder would be for GMP's use to enhance feeder backup and to supply new load in the area. However, at present, BETA's plans, location, load requirements, and timing of loads are highly uncertain. To hedge against this uncertainty, GMP would serve the first few MVA of any new load from its existing Town Line substation. This could be done at low cost and would require feeder reconfigurations in the area and utilization of the new GMP Airport substation and associated feeders. GMP is also working with VELCO to study the impacts of varying levels of BETA load on the ability of the Chittenden County subtransmission system and the VELCO supply system to support a new substation in the area.</t>
  </si>
  <si>
    <t>The project is highly uncertain and not necessary at this time.</t>
  </si>
  <si>
    <t xml:space="preserve">The existing Pleasant Street substation transformer is a 10/14 MVA unit installed in 1974 and has had bad DGA results indicating the unit is gassing.  The unit has been re-tested and the issue persists.  Therefore, the transformer is going to be replaced with a 15/28 MVA unit.  Pleasant Street Substation has circuit ties between the Pleasant St G42 and the Randolph G33 and between Pleasant St G43 and Randolph Center G51.   The circuit regulators will be increased to 438 amp for all three circuits. The larger circuit regulators and the new tie between the Pleasant St G42 and G43 will increase the ability for feeder backup with the other area substations and between the Pleasant St G41, G42 and G43 circuits themselves.   This project consists of replacing the three 12.5kV vacuum circuit breakers at Pleasant St. with new  12.5kV ABB RMAG  circuit breakers. The existing electromechanical protective relays will be replaced with new microprocessor based protective relays housed in a new outdoor relay cabinet. New conduit and control cables will be installed. Security cameras will be added to the security system. A new RTU will be installed at this time. The existing steel will be raised to accomodate the new 12.5kV circuit breakers. Line VT's with fuses will be added to each distribution circuit. Steel adapters will be installed to mount the new 12.5kV breakers on existing foundations.  Reliability is being improved with replacement of like in-kind equipment at the end of its useful life.
</t>
  </si>
  <si>
    <t>248 Exhibit- $3,062,137</t>
  </si>
  <si>
    <t>Reliability plan filed 2016. Combination BESS and joint substation with VEC. American Superconductor DVAR in operation/filter added in 2020.  Continue to Monitor loads.</t>
  </si>
  <si>
    <t>Budgeted FY2025</t>
  </si>
  <si>
    <t>&gt;$30,000,000</t>
  </si>
  <si>
    <t>The primary reason for this project is to address asset management concerns which will increase reliability in the area. The Fairfax substation is comprised of a transmission switching station and a distribution substation, with some components installed in the 1940s and 1950s. The substation will be totally rebuilt on an adjacent parcel of land. The transmission switching station contains obsolete T&amp;D equipment, including the B-5, B-13 circuit breakers which are FKA style 1974 vintage. These will be replaced with vacuum circuit breakers. The associated relay and control panels are equipped with obsolete technology and will be replaced with new panels with modern microprocessor based technology. Additionally, the existing ground grid, fence and control house will all be upgraded, along with installation of updated security.    The distribution substation replacement will also address aging infrastructure and tight clearances. This project will replace 1984 vintage 12.5kV vacuum circuit breakers and one RTU. The existing 1961 vintage 3.75/5.25 MVA transformer will be replaced with a standard 5/7 MVA unit. Bus regulation will be upgraded to standard feeder regulation with 328 amp regulators.</t>
  </si>
  <si>
    <t>This project will address equipment reliability by replacing aging equipment and addressing any clearance issues  which will improve substation safety and operability. The existing distribution low side steel structure will be rebuilt to improve overall clearance and flexibility, incorporating GMP’s current standards and practices.   This project consists of replacing one 12.5kV vacuum circuit breaker at East Arlington Sub with a new  12.5kV ABB RMAG  circuit breakers.  The distribution breaker is being replaced as they are no longer supported by the manufacturer and replacement parts are not available. The new circuit breaker will have microprocessor based relays that will reduce fault-clearing times and have advanced features that are better suited for communication based tripping and for any required communications to Distributed Energy Resources (DER’s) installed on the distribution feeders. Additionally, the microprocessor-based relays offer greater flexibility in protection and reclosing schemes.  They have the ability to provide fault distance and event reports for restoration purposes. The new microprocessor based protective relays will be housed in a new outdoor relay cabinet. 
There are existing reliability concerns associated with the RTU.  This project is part of GMP’s plan for an orderly replacement of 1990 vintage and older unsupported RTUs with few spare parts available.  The replacement of this equipment will help prevent unplanned outages due to equipment failure that might otherwise occur.   This is considered a like in-kind replacement of obsolete equipment for improved reliability preventing the loss of load.</t>
  </si>
  <si>
    <t>This project will address equipment reliability by replacing aging equipment and addressing clearance issues  which will improve substation safety and operability. The existing distribution low side steel structure will be rebuilt to improve overall clearance and flexibility, incorporating GMP’s current standards and practices.                                                                                                        This project consists of replacing one 12.5kV vacuum circuit breaker at West Dummerston Sub with a new  12.5kV vacuum  circuit breakers.  The distribution breaker is being replaced as they are no longer supported by the manufacturer and replacement parts are not available. The new circuit breaker will have microprocessor based relays that will reduce fault-clearing times and have advanced features that are better suited for communication based tripping and for any required communications to Distributed Energy Resources (DER’s) installed on the distribution feeders. Additionally, the microprocessor-based relays offer greater flexibility in protection and reclosing schemes.  They have the ability to provide fault distance and event reports for restoration purposes. The new microprocessor based protective relays will be housed in a new outdoor relay cabinet. 
There are existing reliability concerns associated with the RTU.  This project is part of GMP’s plan for an orderly replacement of 1990 vintage and older unsupported RTUs with few spare parts available.  The replacement of this equipment will help prevent unplanned outages due to equipment failure that might otherwise occur.   This is considered a like in-kind replacement of obsolete equipment for improved reliability preventing the loss of load.
Additionally, the existing 1990 capacitor switching device and associated fusing are being replaced for asset management purposes. GMP’s practice is to replace this style of capacitor switching device due to unreliable field calibration and operations.</t>
  </si>
  <si>
    <t>A Certificate of Public Good (CPG) was issued July 23, 2020 under Case No. 20-0295-PET. In Service April 2021.</t>
  </si>
  <si>
    <t>PUC approval in Case No. 19-4464-PET May 21,2020.  Completed May 2022.</t>
  </si>
  <si>
    <t>PUC approval in Case No. 20-0776-PET dated August 6, 2020.  Completed April 2021.</t>
  </si>
  <si>
    <t>248 Exhibit- $11,052,288</t>
  </si>
  <si>
    <t>248 Exhibit- $6,454,093</t>
  </si>
  <si>
    <t>Fairhaven Area Conversions</t>
  </si>
  <si>
    <t>Hydeville Area Conversion</t>
  </si>
  <si>
    <t>CPG process stopped due to land acquisition problems and Hermitage foreclosure/bankruptcy. Hermitage Members Club, Inc. has taken over assets May 2020. Discussing future substation site with new owners.</t>
  </si>
  <si>
    <t>248 Exhibit- $5,447,845</t>
  </si>
  <si>
    <t>Year Reviewed</t>
  </si>
  <si>
    <t>REVIEWED  VSPC 2022</t>
  </si>
  <si>
    <t>Georgia Sub Upgrades</t>
  </si>
  <si>
    <t>Welden Street Sub Upgrades</t>
  </si>
  <si>
    <t>Montpelier #3 Sub Rebuild</t>
  </si>
  <si>
    <t>Updated May 26 2023</t>
  </si>
  <si>
    <r>
      <rPr>
        <sz val="11"/>
        <rFont val="Calibri"/>
        <family val="2"/>
        <scheme val="minor"/>
      </rPr>
      <t xml:space="preserve">The primary reason for this project is to address asset management concerns which will increase reliability in the area. Presently, the Welden St. Substation contains obsolete equipment, including the B11, and B13 34.5 kV circuit breakers which are 1959 vintage oil breakers that will be replaced with 34.5 kV vacuum circuit breakers. The voltage transformers (VT’s) will be replaced with GMP’s standard pedestal mounted fused line VT’s. The existing substation Remote Terminal Unit (RTU) will be replaced.  Additionally, the existing ground grid will be upgraded, along with installation of security cameras. </t>
    </r>
    <r>
      <rPr>
        <sz val="11"/>
        <color theme="1"/>
        <rFont val="Calibri"/>
        <family val="2"/>
        <scheme val="minor"/>
      </rPr>
      <t xml:space="preserve">                                                                                                                                    </t>
    </r>
  </si>
  <si>
    <t>Welden St Sub Upgrades</t>
  </si>
  <si>
    <r>
      <rPr>
        <sz val="11"/>
        <rFont val="Calibri"/>
        <family val="2"/>
        <scheme val="minor"/>
      </rPr>
      <t xml:space="preserve">The primary reason for this project is to address asset management concerns which will increase reliability in the area. Presently, the Montpelier #3 Substation contains obsolete equipment, including three 1967 vintage 34.5 kV oil circuit breakers (3304, 3310, 3326).  The low side bus and equipment is contained within metal clad switchgear.  This equipment has reached its end of life and is prone to failure.  The project proposes to rebuild the substation adjacent to the existing substation.  The high side bus will be rebuilt in a breaker and a half configuration.  </t>
    </r>
    <r>
      <rPr>
        <sz val="11"/>
        <color theme="1"/>
        <rFont val="Calibri"/>
        <family val="2"/>
        <scheme val="minor"/>
      </rPr>
      <t xml:space="preserve">                                                          </t>
    </r>
  </si>
  <si>
    <t>Transmission &amp; Distribution</t>
  </si>
  <si>
    <t xml:space="preserve">Need for substation is highly uncertain.  Results of planning study state subtransmission system can accommodate new substation. </t>
  </si>
  <si>
    <t xml:space="preserve">The primary reason for this project is to address asset management concerns which will increase reliability in the area. The Georgia substaton contains obsolete equipment including the G-71 breaker which is a 1985 vintage breaker.  The G-70 breaker, similar make and vintage, recently failed and was replaced.  The new G-70 breaker will remain.  The 1974 vintage transformer will be replaced with a new, same-size, transformer and a high-side breaker will be added to improve transformer protection.  Additionally, the substation consists of both steel and wood structures which will both be replaced with new steel structures to improve working clearances, which will prevent future outages during maintenance.  </t>
  </si>
  <si>
    <t>REVIEWED  VSPC 2023</t>
  </si>
  <si>
    <t>PUC approval in Case No. 21-1559-PET 9/9/2021. In Service date is July 2022.</t>
  </si>
  <si>
    <t>Berlin #40</t>
  </si>
  <si>
    <t>248 Exhibit- $4,918,565</t>
  </si>
  <si>
    <t>248 Exhibit- $4,690,177</t>
  </si>
  <si>
    <t xml:space="preserve">PUC approval in Case No. 22-3085 4/21/23.  </t>
  </si>
  <si>
    <t xml:space="preserve">PUC approval in Case No. 22-4230 4/2/23. </t>
  </si>
  <si>
    <t xml:space="preserve">GMP/VEC Joint Project.  PUC approval in Case No. 21-5164-PET 5/20/22. </t>
  </si>
  <si>
    <t xml:space="preserve">PUC approval in Case No. 21-4149-PET 5/20/2022. </t>
  </si>
  <si>
    <t xml:space="preserve">PUC approval in Case No. 23-0937-PET 7/20/23. </t>
  </si>
  <si>
    <t xml:space="preserve">PUC approval in Case No. 23-3496-PET 5/24/24. </t>
  </si>
  <si>
    <t xml:space="preserve">PUC approval in Case No. 22-5336-PET 6/8/23.  </t>
  </si>
  <si>
    <t>PUC approval in Case No. 24-0636-PET 9/5/24</t>
  </si>
  <si>
    <t>FY26</t>
  </si>
  <si>
    <t>248 Exhibit - $5,110,419</t>
  </si>
  <si>
    <t>PUC approval in Case No. 25-0593-PET 12/11/25</t>
  </si>
  <si>
    <t>FY27</t>
  </si>
  <si>
    <t>248 Exhibit - $6,894,860</t>
  </si>
  <si>
    <t>248 Exhibit - $10,683,773</t>
  </si>
  <si>
    <t>PUC approval in Case No. 25-2468-PET 5/8/26</t>
  </si>
  <si>
    <t>Red font indicates updates added to this chart in June 2026</t>
  </si>
  <si>
    <t>Project will begin in Fall 2026</t>
  </si>
  <si>
    <t>CPG Petition submitted 4/30/26</t>
  </si>
  <si>
    <t>248 Exhibit - $6,695,781</t>
  </si>
  <si>
    <t>Taftsville Substation</t>
  </si>
  <si>
    <t>N</t>
  </si>
  <si>
    <t>Temp Substation: PUC approval 25-1821-PET.  Permanent project 45 day notice issued week of 6/22/26</t>
  </si>
  <si>
    <t>Updated June 2026</t>
  </si>
  <si>
    <t>Taftsville Substation Removal &amp; Reconstruction</t>
  </si>
  <si>
    <t xml:space="preserve">The primary reason for this project is to address asset management concerns which will increase reliability in the area. The retirement of the existing Taftsville Substation removes from service equipment at the end of its useful life to improve substation safety and reliability for Woodstock and the surrounding Towns of Hartland and Quechee.  The new Taftsville Substation transmission breakers and the associated ring bus design will continue to allow for automatic sectionalizing of the transmission system during faulted conditions, which improves service reliability.  The upgrade of the transmission bus design will also enhance maintenance capabilities, precluding the need for bus outages and/or the installation of a portable substation to repair, maintain, or replace most substation equipment.  The new 10/14 MVA transformer, which will replace the 1968 vintage power transformer, will contain bushing mounted current transformers to enhance reliability through the implementation of advanced protection schemes. 
On August 13, 2025, the existing Taftsville Substation transformer suffered a catastrophic fault, and on August 19, 2025, GMP petitioned the Commission for the emergency installation of a temporary substation to serve the Taftsville load while permanent plans could be developed.  Subsequent to Commission approval, the temporary substation was constructed at the location proposed for the new substation, and the temporary substation has been carrying the Taftsville customer load since September 30, 2025.  </t>
  </si>
  <si>
    <t>Green Mountain Power Potential Geotargeting Areas 2026</t>
  </si>
  <si>
    <t>N. Springfield</t>
  </si>
  <si>
    <t>N. Springfield Transmission Upgrades</t>
  </si>
  <si>
    <t xml:space="preserve">The primary reason for this project is to increase reliability in the Springfield area through the addition of a new transmission terminal at the N. Springfield substation, and to address asset management of the substation.  The project proposes to convert the three-terminal line between Cavendish, Ascutney, and South Street into three two-terminal lines.  Ascutney to N. Springfield, South Street to N. Springfield, and Cavendish to N. Springfield.  This will be accomplished by constructing 0.7 miles of tranmission line adjacent to the existing TL95 breaking TL93 which runs from Cavendish to South Street into two discrete line segments.  The addition of the two new circuit breakers between Cavendish and South Street will decrease reliability exposure to customers in the Springfield area specifically those fed from the Chester, N. Springfield, and Riverside substations. In addition the project proposes to address asset condition issues through the replacement of circuit breakers, instrument transformers, protection and control equipment among other things.  </t>
  </si>
  <si>
    <t>FY28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</si>
</sst>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0_);_(* \(#,##0.0\);_(* &quot;-&quot;??_);_(@_)"/>
    <numFmt numFmtId="166" formatCode="0.000"/>
    <numFmt numFmtId="167" formatCode="&quot;$&quot;#,##0"/>
    <numFmt numFmtId="168" formatCode="_(&quot;$&quot;* #,##0_);_(&quot;$&quot;* \(#,##0\);_(&quot;$&quot;* &quot;-&quot;??_);_(@_)"/>
    <numFmt numFmtId="169" formatCode="[$-409]mmmm\-yy;@"/>
    <numFmt numFmtId="170" formatCode="mm/dd/yy;@"/>
  </numFmts>
  <fonts count="5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2"/>
      <color theme="1"/>
      <name val="Calibri"/>
      <family val="2"/>
      <scheme val="minor"/>
    </font>
    <font>
      <sz val="10"/>
      <color rgb="FF000000"/>
      <name val="Arial"/>
      <family val="2"/>
    </font>
    <font>
      <b/>
      <sz val="10"/>
      <color rgb="FF000000"/>
      <name val="Arial"/>
      <family val="2"/>
    </font>
    <font>
      <b/>
      <i/>
      <sz val="11"/>
      <color theme="1"/>
      <name val="Calibri"/>
      <family val="2"/>
      <scheme val="minor"/>
    </font>
    <font>
      <sz val="11"/>
      <color theme="1"/>
      <name val="Calibri"/>
      <family val="2"/>
      <scheme val="minor"/>
    </font>
    <font>
      <b/>
      <sz val="11"/>
      <color theme="3"/>
      <name val="Calibri"/>
      <family val="2"/>
      <scheme val="minor"/>
    </font>
    <font>
      <sz val="10"/>
      <color indexed="8"/>
      <name val="Arial"/>
      <family val="2"/>
    </font>
    <font>
      <b/>
      <sz val="11"/>
      <color indexed="8"/>
      <name val="Calibri"/>
      <family val="2"/>
    </font>
    <font>
      <sz val="11"/>
      <color indexed="10"/>
      <name val="Calibri"/>
      <family val="2"/>
    </font>
    <font>
      <sz val="11"/>
      <color indexed="12"/>
      <name val="Calibri"/>
      <family val="2"/>
    </font>
    <font>
      <sz val="11"/>
      <name val="Calibri"/>
      <family val="2"/>
    </font>
    <font>
      <b/>
      <sz val="10"/>
      <color indexed="8"/>
      <name val="Arial"/>
      <family val="2"/>
    </font>
    <font>
      <b/>
      <i/>
      <sz val="11"/>
      <color indexed="8"/>
      <name val="Calibri"/>
      <family val="2"/>
    </font>
    <font>
      <sz val="12"/>
      <color indexed="8"/>
      <name val="Calibri"/>
      <family val="2"/>
    </font>
    <font>
      <b/>
      <sz val="11"/>
      <color indexed="10"/>
      <name val="Calibri"/>
      <family val="2"/>
    </font>
    <font>
      <b/>
      <sz val="14"/>
      <color indexed="8"/>
      <name val="Calibri"/>
      <family val="2"/>
    </font>
    <font>
      <b/>
      <sz val="11"/>
      <color rgb="FF7030A0"/>
      <name val="Calibri"/>
      <family val="2"/>
      <scheme val="minor"/>
    </font>
    <font>
      <b/>
      <sz val="11"/>
      <color rgb="FFFF0000"/>
      <name val="Calibri"/>
      <family val="2"/>
      <scheme val="minor"/>
    </font>
    <font>
      <i/>
      <sz val="11"/>
      <color indexed="8"/>
      <name val="Calibri"/>
      <family val="2"/>
    </font>
    <font>
      <sz val="11"/>
      <color rgb="FFFF0000"/>
      <name val="Calibri"/>
      <family val="2"/>
    </font>
    <font>
      <i/>
      <sz val="11"/>
      <color rgb="FFFF0000"/>
      <name val="Calibri"/>
      <family val="2"/>
      <scheme val="minor"/>
    </font>
    <font>
      <b/>
      <i/>
      <sz val="12"/>
      <color rgb="FFFF0000"/>
      <name val="Calibri"/>
      <family val="2"/>
      <scheme val="minor"/>
    </font>
    <font>
      <b/>
      <i/>
      <sz val="12"/>
      <name val="Calibri"/>
      <family val="2"/>
      <scheme val="minor"/>
    </font>
    <font>
      <b/>
      <sz val="11"/>
      <name val="Calibri"/>
      <family val="2"/>
    </font>
    <font>
      <u/>
      <sz val="11"/>
      <color theme="1"/>
      <name val="Calibri"/>
      <family val="2"/>
      <scheme val="minor"/>
    </font>
    <font>
      <u/>
      <sz val="11"/>
      <color rgb="FFFF0000"/>
      <name val="Calibri"/>
      <family val="2"/>
      <scheme val="minor"/>
    </font>
    <font>
      <sz val="12"/>
      <name val="Calibri"/>
      <family val="2"/>
      <scheme val="minor"/>
    </font>
    <font>
      <sz val="12"/>
      <name val="Calibri"/>
      <family val="2"/>
    </font>
    <font>
      <b/>
      <u/>
      <sz val="16"/>
      <color theme="1"/>
      <name val="Calibri"/>
      <family val="2"/>
      <scheme val="minor"/>
    </font>
    <font>
      <b/>
      <sz val="14"/>
      <name val="Calibri"/>
      <family val="2"/>
    </font>
    <font>
      <sz val="11"/>
      <color indexed="8"/>
      <name val="Calibri"/>
      <family val="2"/>
    </font>
    <font>
      <b/>
      <sz val="12"/>
      <color theme="1"/>
      <name val="Calibri"/>
      <family val="2"/>
      <scheme val="minor"/>
    </font>
    <font>
      <b/>
      <sz val="11"/>
      <name val="Calibri"/>
      <family val="2"/>
      <scheme val="minor"/>
    </font>
    <font>
      <b/>
      <i/>
      <sz val="11"/>
      <color theme="1"/>
      <name val="Arial"/>
      <family val="2"/>
    </font>
    <font>
      <b/>
      <i/>
      <sz val="11"/>
      <color theme="1"/>
      <name val="Symbol"/>
      <family val="1"/>
      <charset val="2"/>
    </font>
    <font>
      <b/>
      <i/>
      <sz val="7"/>
      <color theme="1"/>
      <name val="Times New Roman"/>
      <family val="1"/>
    </font>
    <font>
      <b/>
      <i/>
      <sz val="12"/>
      <color theme="1"/>
      <name val="Symbol"/>
      <family val="1"/>
      <charset val="2"/>
    </font>
    <font>
      <b/>
      <i/>
      <sz val="11"/>
      <color rgb="FF0000FF"/>
      <name val="Arial"/>
      <family val="2"/>
    </font>
    <font>
      <sz val="12"/>
      <color rgb="FFFF0000"/>
      <name val="Calibri"/>
      <family val="2"/>
      <scheme val="minor"/>
    </font>
    <font>
      <b/>
      <sz val="14"/>
      <color rgb="FFFF0000"/>
      <name val="Calibri"/>
      <family val="2"/>
    </font>
    <font>
      <sz val="10"/>
      <name val="Arial"/>
      <family val="2"/>
    </font>
    <font>
      <i/>
      <sz val="12"/>
      <color rgb="FFFF0000"/>
      <name val="Calibri"/>
      <family val="2"/>
    </font>
    <font>
      <i/>
      <sz val="12"/>
      <color indexed="8"/>
      <name val="Calibri"/>
      <family val="2"/>
    </font>
    <font>
      <i/>
      <sz val="11"/>
      <color rgb="FFFF0000"/>
      <name val="Calibri"/>
      <family val="2"/>
    </font>
    <font>
      <sz val="11"/>
      <color rgb="FF1F497D"/>
      <name val="Calibri"/>
      <family val="2"/>
    </font>
    <font>
      <sz val="10"/>
      <color theme="1"/>
      <name val="Times New Roman"/>
      <family val="1"/>
    </font>
    <font>
      <b/>
      <sz val="11"/>
      <color rgb="FF000000"/>
      <name val="Calibri"/>
      <family val="2"/>
    </font>
    <font>
      <sz val="11"/>
      <color rgb="FF000000"/>
      <name val="Calibri"/>
      <family val="2"/>
    </font>
    <font>
      <sz val="11"/>
      <color theme="1"/>
      <name val="Calibri"/>
      <family val="2"/>
    </font>
    <font>
      <b/>
      <sz val="16"/>
      <color rgb="FFFF0000"/>
      <name val="Calibri"/>
      <family val="2"/>
    </font>
    <font>
      <b/>
      <sz val="12"/>
      <color indexed="8"/>
      <name val="Calibri"/>
      <family val="2"/>
    </font>
    <font>
      <sz val="8"/>
      <name val="Calibri"/>
      <family val="2"/>
      <scheme val="minor"/>
    </font>
    <font>
      <sz val="12"/>
      <color theme="1"/>
      <name val="Times New Roman"/>
      <family val="1"/>
    </font>
    <font>
      <sz val="11"/>
      <color theme="2" tint="-0.89999084444715716"/>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rgb="FF999999"/>
      </left>
      <right style="medium">
        <color rgb="FF999999"/>
      </right>
      <top style="medium">
        <color rgb="FF999999"/>
      </top>
      <bottom/>
      <diagonal/>
    </border>
    <border>
      <left style="medium">
        <color rgb="FF999999"/>
      </left>
      <right style="medium">
        <color rgb="FF999999"/>
      </right>
      <top/>
      <bottom style="medium">
        <color rgb="FF999999"/>
      </bottom>
      <diagonal/>
    </border>
    <border>
      <left/>
      <right style="medium">
        <color rgb="FF999999"/>
      </right>
      <top style="medium">
        <color rgb="FF999999"/>
      </top>
      <bottom/>
      <diagonal/>
    </border>
    <border>
      <left/>
      <right style="medium">
        <color rgb="FF999999"/>
      </right>
      <top/>
      <bottom style="medium">
        <color rgb="FF999999"/>
      </bottom>
      <diagonal/>
    </border>
    <border>
      <left style="medium">
        <color rgb="FF999999"/>
      </left>
      <right style="medium">
        <color rgb="FF999999"/>
      </right>
      <top style="medium">
        <color rgb="FF999999"/>
      </top>
      <bottom style="thin">
        <color indexed="64"/>
      </bottom>
      <diagonal/>
    </border>
    <border>
      <left/>
      <right style="medium">
        <color rgb="FF999999"/>
      </right>
      <top style="medium">
        <color rgb="FF999999"/>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s>
  <cellStyleXfs count="4">
    <xf numFmtId="0" fontId="0" fillId="0" borderId="0"/>
    <xf numFmtId="43" fontId="9" fillId="0" borderId="0" applyFont="0" applyFill="0" applyBorder="0" applyAlignment="0" applyProtection="0"/>
    <xf numFmtId="0" fontId="45" fillId="0" borderId="0"/>
    <xf numFmtId="44" fontId="9" fillId="0" borderId="0" applyFont="0" applyFill="0" applyBorder="0" applyAlignment="0" applyProtection="0"/>
  </cellStyleXfs>
  <cellXfs count="457">
    <xf numFmtId="0" fontId="0" fillId="0" borderId="0" xfId="0"/>
    <xf numFmtId="0" fontId="0" fillId="0" borderId="0" xfId="0" applyAlignment="1">
      <alignment wrapText="1"/>
    </xf>
    <xf numFmtId="0" fontId="0" fillId="2" borderId="0" xfId="0" applyFill="1" applyAlignment="1">
      <alignment horizontal="center" wrapText="1"/>
    </xf>
    <xf numFmtId="0" fontId="0" fillId="2" borderId="1" xfId="0" applyFill="1" applyBorder="1"/>
    <xf numFmtId="0" fontId="0" fillId="3" borderId="1" xfId="0" applyFill="1" applyBorder="1"/>
    <xf numFmtId="0" fontId="1" fillId="3" borderId="4" xfId="0" applyFont="1" applyFill="1" applyBorder="1"/>
    <xf numFmtId="0" fontId="0" fillId="3" borderId="4" xfId="0" applyFill="1" applyBorder="1"/>
    <xf numFmtId="0" fontId="0" fillId="2" borderId="4" xfId="0" applyFill="1" applyBorder="1"/>
    <xf numFmtId="0" fontId="0" fillId="0" borderId="3" xfId="0" applyBorder="1"/>
    <xf numFmtId="0" fontId="0" fillId="3" borderId="0" xfId="0" applyFill="1" applyAlignment="1">
      <alignment horizontal="center" wrapText="1"/>
    </xf>
    <xf numFmtId="0" fontId="3" fillId="0" borderId="0" xfId="0" applyFont="1"/>
    <xf numFmtId="0" fontId="1" fillId="2" borderId="4" xfId="0" applyFont="1" applyFill="1" applyBorder="1"/>
    <xf numFmtId="0" fontId="0" fillId="0" borderId="5" xfId="0" applyBorder="1"/>
    <xf numFmtId="0" fontId="0" fillId="0" borderId="6" xfId="0" applyBorder="1"/>
    <xf numFmtId="0" fontId="4" fillId="2" borderId="4" xfId="0" applyFont="1" applyFill="1" applyBorder="1"/>
    <xf numFmtId="0" fontId="4" fillId="2" borderId="4" xfId="0" applyFont="1" applyFill="1" applyBorder="1" applyAlignment="1">
      <alignment horizontal="left"/>
    </xf>
    <xf numFmtId="6" fontId="0" fillId="2" borderId="1" xfId="0" applyNumberFormat="1" applyFill="1" applyBorder="1" applyAlignment="1">
      <alignment horizontal="left"/>
    </xf>
    <xf numFmtId="0" fontId="0" fillId="2" borderId="1" xfId="0" applyFill="1" applyBorder="1" applyAlignment="1">
      <alignment horizontal="left" vertical="top" wrapText="1"/>
    </xf>
    <xf numFmtId="0" fontId="0" fillId="2" borderId="4" xfId="0" applyFill="1" applyBorder="1" applyAlignment="1">
      <alignment wrapText="1"/>
    </xf>
    <xf numFmtId="0" fontId="1" fillId="2" borderId="1" xfId="0" applyFont="1" applyFill="1" applyBorder="1" applyAlignment="1">
      <alignment horizontal="center" vertical="center"/>
    </xf>
    <xf numFmtId="0" fontId="0" fillId="0" borderId="0" xfId="0" applyAlignment="1">
      <alignment horizontal="center"/>
    </xf>
    <xf numFmtId="0" fontId="6" fillId="0" borderId="0" xfId="0" applyFont="1" applyAlignment="1">
      <alignment horizontal="right" vertical="top" wrapText="1"/>
    </xf>
    <xf numFmtId="9" fontId="7" fillId="0" borderId="11" xfId="0" applyNumberFormat="1" applyFont="1" applyBorder="1" applyAlignment="1">
      <alignment horizontal="right" vertical="top" wrapText="1"/>
    </xf>
    <xf numFmtId="9" fontId="7" fillId="0" borderId="12" xfId="0" applyNumberFormat="1" applyFont="1" applyBorder="1" applyAlignment="1">
      <alignment horizontal="right" vertical="top" wrapText="1"/>
    </xf>
    <xf numFmtId="9" fontId="7" fillId="0" borderId="13" xfId="0" applyNumberFormat="1" applyFont="1" applyBorder="1" applyAlignment="1">
      <alignment horizontal="right" vertical="top" wrapText="1"/>
    </xf>
    <xf numFmtId="17" fontId="6" fillId="0" borderId="0" xfId="0" applyNumberFormat="1" applyFont="1" applyAlignment="1">
      <alignment vertical="top" wrapText="1"/>
    </xf>
    <xf numFmtId="0" fontId="0" fillId="2" borderId="1" xfId="0" applyFill="1" applyBorder="1" applyAlignment="1">
      <alignment horizontal="center"/>
    </xf>
    <xf numFmtId="0" fontId="0" fillId="2" borderId="2" xfId="0" applyFill="1" applyBorder="1"/>
    <xf numFmtId="0" fontId="0" fillId="2" borderId="3" xfId="0" applyFill="1" applyBorder="1"/>
    <xf numFmtId="0" fontId="0" fillId="2" borderId="15" xfId="0" applyFill="1" applyBorder="1"/>
    <xf numFmtId="0" fontId="0" fillId="2" borderId="1" xfId="0" applyFill="1" applyBorder="1" applyAlignment="1">
      <alignment horizontal="center" vertical="center"/>
    </xf>
    <xf numFmtId="0" fontId="0" fillId="2" borderId="1" xfId="0" applyFill="1" applyBorder="1" applyAlignment="1">
      <alignment horizontal="center" wrapText="1"/>
    </xf>
    <xf numFmtId="164" fontId="0" fillId="2" borderId="1" xfId="0" applyNumberFormat="1" applyFill="1" applyBorder="1" applyAlignment="1">
      <alignment horizontal="center"/>
    </xf>
    <xf numFmtId="0" fontId="5" fillId="2" borderId="1" xfId="0" applyFont="1" applyFill="1" applyBorder="1" applyAlignment="1">
      <alignment horizontal="left" vertical="center" wrapText="1"/>
    </xf>
    <xf numFmtId="165" fontId="0" fillId="2" borderId="1" xfId="1" applyNumberFormat="1" applyFont="1" applyFill="1" applyBorder="1" applyAlignment="1">
      <alignment horizontal="center"/>
    </xf>
    <xf numFmtId="0" fontId="5" fillId="2" borderId="1" xfId="0" applyFont="1" applyFill="1" applyBorder="1" applyAlignment="1">
      <alignment vertical="center" wrapText="1"/>
    </xf>
    <xf numFmtId="0" fontId="11" fillId="0" borderId="0" xfId="0" applyFont="1" applyAlignment="1">
      <alignment horizontal="right" vertical="top" wrapText="1"/>
    </xf>
    <xf numFmtId="0" fontId="11" fillId="0" borderId="0" xfId="0" applyFont="1" applyAlignment="1">
      <alignment vertical="top" wrapText="1"/>
    </xf>
    <xf numFmtId="17" fontId="11" fillId="0" borderId="0" xfId="0" applyNumberFormat="1" applyFont="1" applyAlignment="1">
      <alignment vertical="top" wrapText="1"/>
    </xf>
    <xf numFmtId="9" fontId="16" fillId="0" borderId="12" xfId="0" applyNumberFormat="1" applyFont="1" applyBorder="1" applyAlignment="1">
      <alignment horizontal="right" vertical="top" wrapText="1"/>
    </xf>
    <xf numFmtId="9" fontId="16" fillId="0" borderId="13" xfId="0" applyNumberFormat="1" applyFont="1" applyBorder="1" applyAlignment="1">
      <alignment horizontal="right" vertical="top" wrapText="1"/>
    </xf>
    <xf numFmtId="9" fontId="16" fillId="0" borderId="11" xfId="0" applyNumberFormat="1" applyFont="1" applyBorder="1" applyAlignment="1">
      <alignment horizontal="right" vertical="top" wrapText="1"/>
    </xf>
    <xf numFmtId="166" fontId="19" fillId="0" borderId="0" xfId="0" applyNumberFormat="1" applyFont="1" applyAlignment="1">
      <alignment horizontal="center"/>
    </xf>
    <xf numFmtId="0" fontId="19" fillId="0" borderId="0" xfId="0" applyFont="1" applyAlignment="1">
      <alignment horizontal="center"/>
    </xf>
    <xf numFmtId="0" fontId="0" fillId="5" borderId="0" xfId="0" applyFill="1"/>
    <xf numFmtId="0" fontId="20" fillId="0" borderId="0" xfId="0" applyFont="1"/>
    <xf numFmtId="0" fontId="10" fillId="6" borderId="0" xfId="0" applyFont="1" applyFill="1"/>
    <xf numFmtId="0" fontId="10" fillId="6" borderId="0" xfId="0" applyFont="1" applyFill="1" applyAlignment="1">
      <alignment horizontal="right"/>
    </xf>
    <xf numFmtId="0" fontId="10" fillId="6" borderId="0" xfId="0" applyFont="1" applyFill="1" applyAlignment="1">
      <alignment horizontal="left"/>
    </xf>
    <xf numFmtId="0" fontId="21" fillId="0" borderId="0" xfId="0" applyFont="1"/>
    <xf numFmtId="2" fontId="19" fillId="0" borderId="0" xfId="0" applyNumberFormat="1" applyFont="1" applyAlignment="1">
      <alignment horizontal="center"/>
    </xf>
    <xf numFmtId="10" fontId="0" fillId="0" borderId="0" xfId="0" applyNumberFormat="1" applyAlignment="1">
      <alignment horizontal="center"/>
    </xf>
    <xf numFmtId="0" fontId="25" fillId="0" borderId="0" xfId="0" applyFont="1"/>
    <xf numFmtId="0" fontId="1" fillId="0" borderId="0" xfId="0" applyFont="1" applyAlignment="1">
      <alignment horizontal="center"/>
    </xf>
    <xf numFmtId="0" fontId="26" fillId="0" borderId="0" xfId="0" applyFont="1" applyAlignment="1">
      <alignment horizontal="center"/>
    </xf>
    <xf numFmtId="0" fontId="26" fillId="0" borderId="0" xfId="0" applyFont="1"/>
    <xf numFmtId="0" fontId="27" fillId="0" borderId="0" xfId="0" applyFont="1" applyAlignment="1">
      <alignment wrapText="1"/>
    </xf>
    <xf numFmtId="0" fontId="28" fillId="0" borderId="0" xfId="0" applyFont="1" applyAlignment="1">
      <alignment horizontal="center"/>
    </xf>
    <xf numFmtId="0" fontId="1" fillId="0" borderId="0" xfId="0" applyFont="1"/>
    <xf numFmtId="164" fontId="0" fillId="0" borderId="0" xfId="0" applyNumberFormat="1"/>
    <xf numFmtId="0" fontId="0" fillId="0" borderId="0" xfId="0" quotePrefix="1"/>
    <xf numFmtId="0" fontId="29" fillId="0" borderId="0" xfId="0" applyFont="1"/>
    <xf numFmtId="0" fontId="30" fillId="0" borderId="0" xfId="0" applyFont="1"/>
    <xf numFmtId="0" fontId="0" fillId="2" borderId="1" xfId="0" applyFill="1" applyBorder="1" applyAlignment="1">
      <alignment vertical="center"/>
    </xf>
    <xf numFmtId="0" fontId="4" fillId="2" borderId="1" xfId="0" applyFont="1" applyFill="1" applyBorder="1"/>
    <xf numFmtId="0" fontId="4" fillId="2" borderId="1" xfId="0" applyFont="1" applyFill="1" applyBorder="1" applyAlignment="1">
      <alignment horizontal="left" vertical="center"/>
    </xf>
    <xf numFmtId="2" fontId="28" fillId="0" borderId="0" xfId="0" applyNumberFormat="1" applyFont="1" applyAlignment="1">
      <alignment horizontal="center"/>
    </xf>
    <xf numFmtId="0" fontId="5" fillId="0" borderId="0" xfId="0" applyFont="1"/>
    <xf numFmtId="0" fontId="4" fillId="0" borderId="5" xfId="0" applyFont="1" applyBorder="1"/>
    <xf numFmtId="0" fontId="4" fillId="0" borderId="6" xfId="0" applyFont="1" applyBorder="1"/>
    <xf numFmtId="0" fontId="0" fillId="2" borderId="4" xfId="0" applyFill="1" applyBorder="1" applyAlignment="1">
      <alignment horizontal="left"/>
    </xf>
    <xf numFmtId="0" fontId="4" fillId="2" borderId="1" xfId="0" applyFont="1" applyFill="1" applyBorder="1" applyAlignment="1">
      <alignment horizontal="center" vertical="center"/>
    </xf>
    <xf numFmtId="0" fontId="0" fillId="2" borderId="15" xfId="0" applyFill="1" applyBorder="1"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left"/>
    </xf>
    <xf numFmtId="0" fontId="2" fillId="3" borderId="20"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18" fillId="2" borderId="1" xfId="0" applyFont="1" applyFill="1" applyBorder="1" applyAlignment="1">
      <alignment horizontal="left" wrapText="1" indent="5"/>
    </xf>
    <xf numFmtId="0" fontId="13" fillId="2" borderId="4" xfId="0" applyFont="1" applyFill="1" applyBorder="1"/>
    <xf numFmtId="0" fontId="15" fillId="2" borderId="4" xfId="0" applyFont="1" applyFill="1" applyBorder="1"/>
    <xf numFmtId="0" fontId="15" fillId="2" borderId="4" xfId="0" applyFont="1" applyFill="1" applyBorder="1" applyAlignment="1">
      <alignment horizontal="left"/>
    </xf>
    <xf numFmtId="0" fontId="13" fillId="2" borderId="1" xfId="0" applyFont="1" applyFill="1" applyBorder="1" applyAlignment="1">
      <alignment horizontal="center" vertical="center"/>
    </xf>
    <xf numFmtId="0" fontId="0" fillId="0" borderId="14" xfId="0" applyBorder="1"/>
    <xf numFmtId="0" fontId="18" fillId="2" borderId="1" xfId="0" applyFont="1" applyFill="1" applyBorder="1" applyAlignment="1">
      <alignment wrapText="1"/>
    </xf>
    <xf numFmtId="0" fontId="0" fillId="2" borderId="1" xfId="0" applyFill="1" applyBorder="1" applyAlignment="1">
      <alignment wrapText="1"/>
    </xf>
    <xf numFmtId="0" fontId="15" fillId="2" borderId="4" xfId="0" applyFont="1" applyFill="1" applyBorder="1" applyAlignment="1">
      <alignment horizontal="left" wrapText="1"/>
    </xf>
    <xf numFmtId="0" fontId="15" fillId="2" borderId="1" xfId="0" applyFont="1" applyFill="1" applyBorder="1" applyAlignment="1">
      <alignment horizontal="center" vertical="center"/>
    </xf>
    <xf numFmtId="0" fontId="18" fillId="2" borderId="1" xfId="0" applyFont="1" applyFill="1" applyBorder="1" applyAlignment="1">
      <alignment vertical="top" wrapText="1"/>
    </xf>
    <xf numFmtId="0" fontId="15" fillId="2" borderId="1" xfId="0" applyFont="1" applyFill="1" applyBorder="1" applyAlignment="1">
      <alignment horizontal="left" vertical="center"/>
    </xf>
    <xf numFmtId="6" fontId="4" fillId="2" borderId="1" xfId="0" applyNumberFormat="1" applyFont="1" applyFill="1" applyBorder="1" applyAlignment="1">
      <alignment horizontal="left"/>
    </xf>
    <xf numFmtId="0" fontId="4" fillId="2" borderId="1" xfId="0" applyFont="1" applyFill="1" applyBorder="1" applyAlignment="1">
      <alignment horizontal="left" vertical="top" wrapText="1"/>
    </xf>
    <xf numFmtId="0" fontId="13" fillId="2" borderId="1" xfId="0" applyFont="1" applyFill="1" applyBorder="1" applyAlignment="1">
      <alignment horizontal="center" wrapText="1"/>
    </xf>
    <xf numFmtId="2" fontId="0" fillId="2" borderId="1" xfId="0" applyNumberFormat="1" applyFill="1" applyBorder="1" applyAlignment="1">
      <alignment horizontal="center"/>
    </xf>
    <xf numFmtId="2" fontId="13" fillId="2" borderId="1" xfId="0" applyNumberFormat="1" applyFont="1" applyFill="1" applyBorder="1" applyAlignment="1">
      <alignment horizontal="center"/>
    </xf>
    <xf numFmtId="2" fontId="14" fillId="2" borderId="1" xfId="0" applyNumberFormat="1" applyFont="1" applyFill="1" applyBorder="1" applyAlignment="1">
      <alignment wrapText="1"/>
    </xf>
    <xf numFmtId="2" fontId="0" fillId="2" borderId="1" xfId="0" applyNumberFormat="1" applyFill="1" applyBorder="1"/>
    <xf numFmtId="0" fontId="4" fillId="2" borderId="4" xfId="0" applyFont="1" applyFill="1" applyBorder="1" applyAlignment="1">
      <alignment wrapText="1"/>
    </xf>
    <xf numFmtId="0" fontId="22" fillId="2" borderId="15" xfId="0" applyFont="1" applyFill="1" applyBorder="1" applyAlignment="1">
      <alignment horizontal="center"/>
    </xf>
    <xf numFmtId="0" fontId="24" fillId="2" borderId="1" xfId="0" applyFont="1" applyFill="1" applyBorder="1" applyAlignment="1">
      <alignment horizontal="center" wrapText="1"/>
    </xf>
    <xf numFmtId="2" fontId="15" fillId="2" borderId="1" xfId="0" applyNumberFormat="1" applyFont="1" applyFill="1" applyBorder="1" applyAlignment="1">
      <alignment horizontal="center"/>
    </xf>
    <xf numFmtId="2" fontId="14" fillId="2" borderId="1" xfId="0" applyNumberFormat="1" applyFont="1" applyFill="1" applyBorder="1"/>
    <xf numFmtId="2" fontId="4" fillId="2" borderId="1" xfId="0" applyNumberFormat="1" applyFont="1" applyFill="1" applyBorder="1" applyAlignment="1">
      <alignment horizontal="center"/>
    </xf>
    <xf numFmtId="2"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164" fontId="13" fillId="2" borderId="1" xfId="0" applyNumberFormat="1" applyFont="1" applyFill="1" applyBorder="1" applyAlignment="1">
      <alignment horizontal="center"/>
    </xf>
    <xf numFmtId="164" fontId="14" fillId="2" borderId="1" xfId="0" applyNumberFormat="1" applyFont="1" applyFill="1" applyBorder="1" applyAlignment="1">
      <alignment horizontal="center"/>
    </xf>
    <xf numFmtId="164" fontId="15" fillId="2" borderId="1" xfId="0" applyNumberFormat="1" applyFont="1" applyFill="1" applyBorder="1" applyAlignment="1">
      <alignment horizontal="center"/>
    </xf>
    <xf numFmtId="0" fontId="15" fillId="2" borderId="4" xfId="0" applyFont="1" applyFill="1" applyBorder="1" applyAlignment="1">
      <alignment wrapText="1"/>
    </xf>
    <xf numFmtId="0" fontId="31" fillId="2" borderId="4" xfId="0" applyFont="1" applyFill="1" applyBorder="1"/>
    <xf numFmtId="0" fontId="34"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vertical="center" wrapText="1"/>
    </xf>
    <xf numFmtId="0" fontId="20" fillId="0" borderId="1" xfId="0" applyFont="1" applyBorder="1" applyAlignment="1">
      <alignment horizontal="center" vertical="center"/>
    </xf>
    <xf numFmtId="0" fontId="0" fillId="2" borderId="1" xfId="0" applyFill="1" applyBorder="1" applyAlignment="1">
      <alignment horizontal="left" vertical="center" wrapText="1"/>
    </xf>
    <xf numFmtId="0" fontId="35" fillId="2" borderId="1" xfId="0" applyFont="1" applyFill="1" applyBorder="1" applyAlignment="1">
      <alignment vertical="top" wrapText="1"/>
    </xf>
    <xf numFmtId="0" fontId="15" fillId="2" borderId="4" xfId="0" applyFont="1" applyFill="1" applyBorder="1" applyAlignment="1">
      <alignment vertical="center"/>
    </xf>
    <xf numFmtId="0" fontId="4" fillId="0" borderId="0" xfId="0" applyFont="1"/>
    <xf numFmtId="0" fontId="0" fillId="2" borderId="1" xfId="0" applyFill="1" applyBorder="1" applyAlignment="1">
      <alignment vertical="top" wrapText="1"/>
    </xf>
    <xf numFmtId="0" fontId="18" fillId="2" borderId="1" xfId="0" applyFont="1" applyFill="1" applyBorder="1" applyAlignment="1">
      <alignment horizontal="left" vertical="top" wrapText="1"/>
    </xf>
    <xf numFmtId="0" fontId="0" fillId="0" borderId="0" xfId="0" applyAlignment="1">
      <alignment horizontal="right"/>
    </xf>
    <xf numFmtId="0" fontId="5" fillId="0" borderId="0" xfId="0" applyFont="1" applyAlignment="1">
      <alignment wrapText="1"/>
    </xf>
    <xf numFmtId="8" fontId="0" fillId="0" borderId="6" xfId="0" applyNumberFormat="1" applyBorder="1"/>
    <xf numFmtId="0" fontId="0" fillId="2" borderId="1" xfId="0" applyFill="1" applyBorder="1" applyAlignment="1">
      <alignment horizontal="right" wrapText="1"/>
    </xf>
    <xf numFmtId="0" fontId="0" fillId="7" borderId="2" xfId="0" applyFill="1" applyBorder="1" applyAlignment="1">
      <alignment horizontal="center"/>
    </xf>
    <xf numFmtId="164" fontId="0" fillId="7" borderId="15" xfId="0" applyNumberFormat="1" applyFill="1" applyBorder="1" applyAlignment="1">
      <alignment horizontal="center" wrapText="1"/>
    </xf>
    <xf numFmtId="165" fontId="0" fillId="2" borderId="1" xfId="1" applyNumberFormat="1" applyFont="1" applyFill="1" applyBorder="1" applyAlignment="1">
      <alignment horizontal="right"/>
    </xf>
    <xf numFmtId="164" fontId="0" fillId="7" borderId="15" xfId="1" applyNumberFormat="1" applyFont="1" applyFill="1" applyBorder="1" applyAlignment="1">
      <alignment horizontal="center"/>
    </xf>
    <xf numFmtId="164" fontId="0" fillId="7" borderId="15" xfId="0" applyNumberFormat="1" applyFill="1" applyBorder="1" applyAlignment="1">
      <alignment horizontal="center"/>
    </xf>
    <xf numFmtId="164" fontId="0" fillId="2" borderId="4" xfId="0" applyNumberFormat="1" applyFill="1" applyBorder="1"/>
    <xf numFmtId="0" fontId="2" fillId="7" borderId="2" xfId="0" applyFont="1" applyFill="1" applyBorder="1" applyAlignment="1">
      <alignment horizontal="center"/>
    </xf>
    <xf numFmtId="164" fontId="2" fillId="7" borderId="15" xfId="0" applyNumberFormat="1" applyFont="1" applyFill="1" applyBorder="1" applyAlignment="1">
      <alignment horizontal="center"/>
    </xf>
    <xf numFmtId="43" fontId="4" fillId="2" borderId="4" xfId="0" applyNumberFormat="1" applyFont="1" applyFill="1" applyBorder="1" applyAlignment="1">
      <alignment horizontal="right"/>
    </xf>
    <xf numFmtId="165" fontId="0" fillId="5" borderId="1" xfId="1" applyNumberFormat="1" applyFont="1" applyFill="1" applyBorder="1" applyAlignment="1">
      <alignment horizontal="center"/>
    </xf>
    <xf numFmtId="0" fontId="0" fillId="0" borderId="16" xfId="0" applyBorder="1"/>
    <xf numFmtId="0" fontId="0" fillId="0" borderId="8" xfId="0" applyBorder="1"/>
    <xf numFmtId="0" fontId="15" fillId="2" borderId="1" xfId="0" applyFont="1" applyFill="1" applyBorder="1" applyAlignment="1">
      <alignment horizontal="left" vertical="center" wrapText="1"/>
    </xf>
    <xf numFmtId="0" fontId="8" fillId="0" borderId="0" xfId="0" applyFont="1"/>
    <xf numFmtId="0" fontId="8" fillId="0" borderId="0" xfId="0" applyFont="1" applyAlignment="1">
      <alignment horizontal="center"/>
    </xf>
    <xf numFmtId="0" fontId="8" fillId="0" borderId="0" xfId="0" applyFont="1" applyAlignment="1">
      <alignment horizontal="right"/>
    </xf>
    <xf numFmtId="0" fontId="38" fillId="0" borderId="0" xfId="0" applyFont="1"/>
    <xf numFmtId="0" fontId="39" fillId="0" borderId="0" xfId="0" applyFont="1" applyAlignment="1">
      <alignment horizontal="left" indent="5"/>
    </xf>
    <xf numFmtId="0" fontId="41" fillId="0" borderId="0" xfId="0" applyFont="1" applyAlignment="1">
      <alignment horizontal="left" indent="5"/>
    </xf>
    <xf numFmtId="0" fontId="15" fillId="2" borderId="1" xfId="0" applyFont="1" applyFill="1" applyBorder="1" applyAlignment="1">
      <alignment horizontal="left" vertical="top" wrapText="1"/>
    </xf>
    <xf numFmtId="0" fontId="0" fillId="2" borderId="1" xfId="0" applyFill="1" applyBorder="1" applyAlignment="1">
      <alignment horizontal="left" vertical="top"/>
    </xf>
    <xf numFmtId="0" fontId="15" fillId="2" borderId="4" xfId="0" applyFont="1" applyFill="1" applyBorder="1" applyAlignment="1">
      <alignment horizontal="left" vertical="top" wrapText="1"/>
    </xf>
    <xf numFmtId="0" fontId="1" fillId="2" borderId="4" xfId="0" applyFont="1" applyFill="1" applyBorder="1" applyAlignment="1">
      <alignment wrapText="1"/>
    </xf>
    <xf numFmtId="167" fontId="0" fillId="2" borderId="1" xfId="0" applyNumberFormat="1" applyFill="1" applyBorder="1" applyAlignment="1">
      <alignment horizontal="left"/>
    </xf>
    <xf numFmtId="0" fontId="43" fillId="0" borderId="0" xfId="0" applyFont="1"/>
    <xf numFmtId="0" fontId="0" fillId="2" borderId="4" xfId="0" applyFill="1" applyBorder="1" applyAlignment="1">
      <alignment horizontal="left" wrapText="1"/>
    </xf>
    <xf numFmtId="6" fontId="1" fillId="2" borderId="1" xfId="0" applyNumberFormat="1" applyFont="1" applyFill="1" applyBorder="1" applyAlignment="1">
      <alignment horizontal="left"/>
    </xf>
    <xf numFmtId="6" fontId="1" fillId="0" borderId="0" xfId="0" applyNumberFormat="1" applyFont="1"/>
    <xf numFmtId="0" fontId="1" fillId="2" borderId="1" xfId="0" applyFont="1" applyFill="1" applyBorder="1"/>
    <xf numFmtId="0" fontId="44" fillId="0" borderId="1" xfId="0" applyFont="1" applyBorder="1" applyAlignment="1">
      <alignment horizontal="center" vertical="center"/>
    </xf>
    <xf numFmtId="0" fontId="35"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31" fillId="2" borderId="1" xfId="0" applyFont="1" applyFill="1" applyBorder="1" applyAlignment="1">
      <alignment vertical="center" wrapText="1"/>
    </xf>
    <xf numFmtId="0" fontId="4" fillId="0" borderId="0" xfId="0" applyFont="1" applyAlignment="1">
      <alignment horizontal="center"/>
    </xf>
    <xf numFmtId="0" fontId="1" fillId="2" borderId="4" xfId="0" applyFont="1" applyFill="1" applyBorder="1" applyAlignment="1">
      <alignment vertical="center" wrapText="1"/>
    </xf>
    <xf numFmtId="6" fontId="1" fillId="2" borderId="1" xfId="0" applyNumberFormat="1" applyFont="1" applyFill="1" applyBorder="1" applyAlignment="1">
      <alignment horizontal="left" vertical="center" wrapText="1"/>
    </xf>
    <xf numFmtId="0" fontId="13" fillId="2"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wrapText="1"/>
    </xf>
    <xf numFmtId="0" fontId="0" fillId="2" borderId="4" xfId="0" applyFill="1" applyBorder="1" applyAlignment="1">
      <alignment vertical="center" wrapText="1"/>
    </xf>
    <xf numFmtId="0" fontId="24" fillId="2" borderId="4" xfId="0" applyFont="1" applyFill="1" applyBorder="1"/>
    <xf numFmtId="0" fontId="1" fillId="2" borderId="1" xfId="0" applyFont="1" applyFill="1" applyBorder="1" applyAlignment="1">
      <alignment vertical="center" wrapText="1"/>
    </xf>
    <xf numFmtId="0" fontId="24" fillId="2" borderId="4" xfId="0" applyFont="1" applyFill="1" applyBorder="1" applyAlignment="1">
      <alignment horizontal="left"/>
    </xf>
    <xf numFmtId="0" fontId="24" fillId="2" borderId="1" xfId="0" applyFont="1" applyFill="1" applyBorder="1" applyAlignment="1">
      <alignment horizontal="left" vertical="center"/>
    </xf>
    <xf numFmtId="0" fontId="1" fillId="2" borderId="1" xfId="0" applyFont="1" applyFill="1" applyBorder="1" applyAlignment="1">
      <alignment horizontal="left" vertical="top" wrapText="1"/>
    </xf>
    <xf numFmtId="0" fontId="2" fillId="4" borderId="20" xfId="0" applyFont="1" applyFill="1" applyBorder="1" applyAlignment="1">
      <alignment horizontal="center" vertical="center" wrapText="1"/>
    </xf>
    <xf numFmtId="0" fontId="32" fillId="2" borderId="1" xfId="0" applyFont="1" applyFill="1" applyBorder="1" applyAlignment="1">
      <alignment wrapText="1"/>
    </xf>
    <xf numFmtId="0" fontId="44" fillId="0" borderId="0" xfId="0" applyFont="1"/>
    <xf numFmtId="0" fontId="35" fillId="2" borderId="1" xfId="0" applyFont="1" applyFill="1" applyBorder="1" applyAlignment="1">
      <alignment vertical="center" wrapText="1"/>
    </xf>
    <xf numFmtId="0" fontId="4" fillId="5" borderId="1" xfId="0" applyFont="1" applyFill="1" applyBorder="1" applyAlignment="1">
      <alignment vertical="center" wrapText="1"/>
    </xf>
    <xf numFmtId="0" fontId="12" fillId="0" borderId="6" xfId="0" applyFont="1" applyBorder="1" applyAlignment="1">
      <alignment horizontal="center"/>
    </xf>
    <xf numFmtId="0" fontId="24" fillId="2" borderId="1" xfId="0" applyFont="1" applyFill="1" applyBorder="1" applyAlignment="1">
      <alignment horizontal="left" vertical="top" wrapText="1"/>
    </xf>
    <xf numFmtId="6" fontId="25" fillId="2" borderId="1" xfId="0" applyNumberFormat="1" applyFont="1" applyFill="1" applyBorder="1" applyAlignment="1">
      <alignment horizontal="left"/>
    </xf>
    <xf numFmtId="0" fontId="20" fillId="5" borderId="0" xfId="0" applyFont="1" applyFill="1"/>
    <xf numFmtId="0" fontId="0" fillId="2" borderId="1" xfId="3" applyNumberFormat="1" applyFont="1" applyFill="1" applyBorder="1" applyAlignment="1">
      <alignment horizontal="left" wrapText="1"/>
    </xf>
    <xf numFmtId="0" fontId="2" fillId="5" borderId="1" xfId="0" applyFont="1" applyFill="1" applyBorder="1"/>
    <xf numFmtId="0" fontId="0" fillId="0" borderId="1" xfId="0" applyBorder="1" applyAlignment="1">
      <alignment horizontal="left" vertical="center"/>
    </xf>
    <xf numFmtId="0" fontId="4" fillId="0" borderId="1" xfId="0" applyFont="1" applyBorder="1" applyAlignment="1">
      <alignment horizontal="left" vertical="center"/>
    </xf>
    <xf numFmtId="0" fontId="0" fillId="0" borderId="0" xfId="0" applyAlignment="1">
      <alignment horizontal="center" wrapText="1"/>
    </xf>
    <xf numFmtId="0" fontId="12" fillId="0" borderId="0" xfId="0" applyFont="1" applyAlignment="1">
      <alignment horizontal="center"/>
    </xf>
    <xf numFmtId="0" fontId="51" fillId="0" borderId="24" xfId="0" applyFont="1" applyBorder="1" applyAlignment="1">
      <alignment horizontal="center" vertical="center" wrapText="1"/>
    </xf>
    <xf numFmtId="0" fontId="51" fillId="0" borderId="25" xfId="0" applyFont="1" applyBorder="1" applyAlignment="1">
      <alignment horizontal="center" vertical="center" wrapText="1"/>
    </xf>
    <xf numFmtId="0" fontId="50" fillId="0" borderId="0" xfId="0" applyFont="1" applyAlignment="1">
      <alignment vertical="center" wrapText="1"/>
    </xf>
    <xf numFmtId="0" fontId="51" fillId="0" borderId="23" xfId="0" applyFont="1" applyBorder="1" applyAlignment="1">
      <alignment horizontal="center" vertical="center"/>
    </xf>
    <xf numFmtId="0" fontId="52" fillId="0" borderId="25" xfId="0" applyFont="1" applyBorder="1" applyAlignment="1">
      <alignment horizontal="center" vertical="center"/>
    </xf>
    <xf numFmtId="0" fontId="53" fillId="0" borderId="25" xfId="0" applyFont="1" applyBorder="1" applyAlignment="1">
      <alignment horizontal="center" vertical="center"/>
    </xf>
    <xf numFmtId="0" fontId="54"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horizontal="center" vertical="center"/>
    </xf>
    <xf numFmtId="0" fontId="24" fillId="0" borderId="0" xfId="0" applyFont="1" applyAlignment="1">
      <alignment horizontal="center" vertical="center"/>
    </xf>
    <xf numFmtId="0" fontId="49" fillId="0" borderId="0" xfId="0" applyFont="1" applyAlignment="1">
      <alignment vertical="center"/>
    </xf>
    <xf numFmtId="0" fontId="51" fillId="0" borderId="26" xfId="0" applyFont="1" applyBorder="1" applyAlignment="1">
      <alignment horizontal="center" vertical="center"/>
    </xf>
    <xf numFmtId="0" fontId="52" fillId="0" borderId="27" xfId="0" applyFont="1" applyBorder="1" applyAlignment="1">
      <alignment horizontal="center" vertical="center"/>
    </xf>
    <xf numFmtId="0" fontId="53" fillId="0" borderId="27" xfId="0" applyFont="1" applyBorder="1" applyAlignment="1">
      <alignment horizontal="center" vertical="center"/>
    </xf>
    <xf numFmtId="0" fontId="0" fillId="0" borderId="0" xfId="0" applyAlignment="1">
      <alignment vertical="center"/>
    </xf>
    <xf numFmtId="9" fontId="7" fillId="0" borderId="0" xfId="0" applyNumberFormat="1" applyFont="1" applyAlignment="1">
      <alignment horizontal="right" vertical="top" wrapText="1"/>
    </xf>
    <xf numFmtId="0" fontId="0" fillId="0" borderId="0" xfId="0" applyAlignment="1">
      <alignment horizontal="center" vertical="center"/>
    </xf>
    <xf numFmtId="0" fontId="22" fillId="0" borderId="0" xfId="0" applyFont="1" applyAlignment="1">
      <alignment wrapText="1"/>
    </xf>
    <xf numFmtId="169" fontId="0" fillId="0" borderId="0" xfId="0" applyNumberFormat="1"/>
    <xf numFmtId="0" fontId="53" fillId="2" borderId="4" xfId="0" applyFont="1" applyFill="1" applyBorder="1"/>
    <xf numFmtId="168" fontId="0" fillId="2" borderId="1" xfId="3" applyNumberFormat="1" applyFont="1" applyFill="1" applyBorder="1"/>
    <xf numFmtId="6" fontId="0" fillId="2" borderId="1" xfId="0" applyNumberFormat="1" applyFill="1" applyBorder="1" applyAlignment="1">
      <alignment horizontal="left" wrapText="1"/>
    </xf>
    <xf numFmtId="0" fontId="0" fillId="2" borderId="1" xfId="0" applyFill="1" applyBorder="1" applyAlignment="1">
      <alignment vertical="center" wrapText="1"/>
    </xf>
    <xf numFmtId="0" fontId="53" fillId="2" borderId="1" xfId="0" applyFont="1" applyFill="1" applyBorder="1" applyAlignment="1">
      <alignment horizontal="center" vertical="center"/>
    </xf>
    <xf numFmtId="0" fontId="0" fillId="2" borderId="1" xfId="3" applyNumberFormat="1" applyFont="1" applyFill="1" applyBorder="1" applyAlignment="1">
      <alignment wrapText="1"/>
    </xf>
    <xf numFmtId="0" fontId="53" fillId="2" borderId="4" xfId="0" applyFont="1" applyFill="1" applyBorder="1" applyAlignment="1">
      <alignment horizontal="left"/>
    </xf>
    <xf numFmtId="0" fontId="0" fillId="5" borderId="1" xfId="0" applyFill="1" applyBorder="1"/>
    <xf numFmtId="49" fontId="4" fillId="0" borderId="0" xfId="0" applyNumberFormat="1" applyFont="1" applyAlignment="1">
      <alignment horizontal="left"/>
    </xf>
    <xf numFmtId="0" fontId="0" fillId="0" borderId="0" xfId="0" applyAlignment="1">
      <alignment horizontal="left" vertic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37" fillId="0" borderId="20" xfId="0" applyFont="1" applyBorder="1" applyAlignment="1">
      <alignment horizontal="center" vertical="center"/>
    </xf>
    <xf numFmtId="0" fontId="2" fillId="0" borderId="29" xfId="0" applyFont="1" applyBorder="1" applyAlignment="1">
      <alignment horizontal="center" vertical="center"/>
    </xf>
    <xf numFmtId="0" fontId="2" fillId="4" borderId="28" xfId="0" applyFont="1" applyFill="1" applyBorder="1" applyAlignment="1">
      <alignment horizontal="center" vertical="center"/>
    </xf>
    <xf numFmtId="0" fontId="15" fillId="2" borderId="1" xfId="0" applyFont="1" applyFill="1" applyBorder="1" applyAlignment="1">
      <alignment vertical="center" wrapText="1"/>
    </xf>
    <xf numFmtId="0" fontId="0" fillId="2" borderId="1" xfId="3" applyNumberFormat="1" applyFont="1" applyFill="1" applyBorder="1" applyAlignment="1">
      <alignment horizontal="left" vertical="top" wrapText="1"/>
    </xf>
    <xf numFmtId="4" fontId="0" fillId="0" borderId="0" xfId="0" applyNumberFormat="1"/>
    <xf numFmtId="3" fontId="0" fillId="2" borderId="1" xfId="0" applyNumberFormat="1" applyFill="1" applyBorder="1"/>
    <xf numFmtId="14" fontId="0" fillId="2" borderId="1" xfId="0" applyNumberFormat="1" applyFill="1" applyBorder="1"/>
    <xf numFmtId="22" fontId="0" fillId="0" borderId="14" xfId="0" applyNumberFormat="1" applyBorder="1"/>
    <xf numFmtId="0" fontId="20" fillId="0" borderId="0" xfId="0" applyFont="1" applyAlignment="1">
      <alignment horizontal="center" vertical="center"/>
    </xf>
    <xf numFmtId="0" fontId="2" fillId="3" borderId="19" xfId="0" applyFont="1" applyFill="1" applyBorder="1" applyAlignment="1">
      <alignment horizontal="center" vertical="center"/>
    </xf>
    <xf numFmtId="0" fontId="2" fillId="0" borderId="0" xfId="0" applyFont="1" applyAlignment="1">
      <alignment horizontal="center" vertical="center"/>
    </xf>
    <xf numFmtId="0" fontId="37" fillId="3" borderId="20" xfId="0" applyFon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168" fontId="0" fillId="0" borderId="1" xfId="3" applyNumberFormat="1" applyFont="1" applyFill="1" applyBorder="1" applyAlignment="1">
      <alignment horizontal="left" vertical="center"/>
    </xf>
    <xf numFmtId="168" fontId="0" fillId="0" borderId="9" xfId="3" applyNumberFormat="1" applyFont="1" applyFill="1" applyBorder="1" applyAlignment="1">
      <alignment horizontal="left" vertical="center"/>
    </xf>
    <xf numFmtId="0" fontId="4" fillId="0" borderId="1" xfId="0" quotePrefix="1" applyFont="1" applyBorder="1" applyAlignment="1">
      <alignment horizontal="left" vertical="center"/>
    </xf>
    <xf numFmtId="14" fontId="4" fillId="0" borderId="1" xfId="0" quotePrefix="1" applyNumberFormat="1" applyFont="1" applyBorder="1" applyAlignment="1">
      <alignment horizontal="left" vertical="center"/>
    </xf>
    <xf numFmtId="17" fontId="4" fillId="0" borderId="9" xfId="0" quotePrefix="1" applyNumberFormat="1" applyFont="1" applyBorder="1" applyAlignment="1">
      <alignment horizontal="left" vertical="center"/>
    </xf>
    <xf numFmtId="0" fontId="4" fillId="0" borderId="9" xfId="0" quotePrefix="1" applyFont="1" applyBorder="1" applyAlignment="1">
      <alignment horizontal="left" vertical="center"/>
    </xf>
    <xf numFmtId="0" fontId="0" fillId="0" borderId="1" xfId="0" applyBorder="1" applyAlignment="1">
      <alignment horizontal="left" vertical="center" wrapText="1"/>
    </xf>
    <xf numFmtId="168" fontId="0" fillId="0" borderId="0" xfId="3" applyNumberFormat="1" applyFont="1" applyFill="1" applyBorder="1" applyAlignment="1">
      <alignment horizontal="left" vertical="center"/>
    </xf>
    <xf numFmtId="0" fontId="4" fillId="0" borderId="9" xfId="0" applyFont="1" applyBorder="1" applyAlignment="1">
      <alignment horizontal="left" vertical="center"/>
    </xf>
    <xf numFmtId="167" fontId="0" fillId="0" borderId="9" xfId="3" applyNumberFormat="1" applyFont="1" applyFill="1" applyBorder="1" applyAlignment="1">
      <alignment horizontal="left" vertical="center"/>
    </xf>
    <xf numFmtId="0" fontId="4" fillId="0" borderId="1" xfId="2" applyFont="1" applyBorder="1" applyAlignment="1">
      <alignment horizontal="left" vertical="center" wrapText="1"/>
    </xf>
    <xf numFmtId="0" fontId="4" fillId="0" borderId="9" xfId="2" applyFont="1" applyBorder="1" applyAlignment="1">
      <alignment horizontal="left" vertical="center" wrapText="1"/>
    </xf>
    <xf numFmtId="167" fontId="4" fillId="0" borderId="9" xfId="3" applyNumberFormat="1" applyFont="1" applyFill="1" applyBorder="1" applyAlignment="1">
      <alignment horizontal="left" vertical="center"/>
    </xf>
    <xf numFmtId="0" fontId="37" fillId="8" borderId="0" xfId="0" applyFont="1" applyFill="1" applyAlignment="1">
      <alignment horizontal="lef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37" fillId="9" borderId="0" xfId="0" applyFont="1" applyFill="1" applyAlignment="1">
      <alignment horizontal="left" vertical="center"/>
    </xf>
    <xf numFmtId="0" fontId="2" fillId="10" borderId="0" xfId="0" applyFont="1" applyFill="1" applyAlignment="1">
      <alignment horizontal="left" vertical="center"/>
    </xf>
    <xf numFmtId="0" fontId="0" fillId="0" borderId="6" xfId="0" applyBorder="1" applyAlignment="1">
      <alignment horizontal="left" vertical="center"/>
    </xf>
    <xf numFmtId="0" fontId="2" fillId="11" borderId="0" xfId="0" applyFont="1" applyFill="1" applyAlignment="1">
      <alignment horizontal="left" vertical="center"/>
    </xf>
    <xf numFmtId="0" fontId="2" fillId="6" borderId="0" xfId="0" applyFont="1" applyFill="1" applyAlignment="1">
      <alignment horizontal="left" vertical="center"/>
    </xf>
    <xf numFmtId="0" fontId="2" fillId="12" borderId="0" xfId="0" applyFont="1" applyFill="1" applyAlignment="1">
      <alignment horizontal="left" vertical="center"/>
    </xf>
    <xf numFmtId="170" fontId="0" fillId="0" borderId="0" xfId="0" applyNumberFormat="1"/>
    <xf numFmtId="170" fontId="0" fillId="0" borderId="0" xfId="0" applyNumberFormat="1" applyAlignment="1">
      <alignment horizontal="left"/>
    </xf>
    <xf numFmtId="0" fontId="0" fillId="2" borderId="1" xfId="3" applyNumberFormat="1" applyFont="1" applyFill="1" applyBorder="1" applyAlignment="1">
      <alignment horizontal="left" vertical="center" wrapText="1"/>
    </xf>
    <xf numFmtId="0" fontId="2" fillId="2" borderId="4" xfId="0" applyFont="1" applyFill="1" applyBorder="1"/>
    <xf numFmtId="0" fontId="2" fillId="13" borderId="0" xfId="0" applyFont="1" applyFill="1" applyAlignment="1">
      <alignment horizontal="left" vertical="center"/>
    </xf>
    <xf numFmtId="0" fontId="4" fillId="0" borderId="1" xfId="0" applyFont="1" applyBorder="1" applyAlignment="1">
      <alignment horizontal="left" vertical="center" wrapText="1"/>
    </xf>
    <xf numFmtId="168" fontId="4" fillId="0" borderId="1" xfId="3" applyNumberFormat="1" applyFont="1" applyFill="1" applyBorder="1" applyAlignment="1">
      <alignment horizontal="left" vertical="center"/>
    </xf>
    <xf numFmtId="0" fontId="4" fillId="0" borderId="2" xfId="0" applyFont="1" applyBorder="1" applyAlignment="1">
      <alignment horizontal="left" vertical="center"/>
    </xf>
    <xf numFmtId="167" fontId="4" fillId="0" borderId="1" xfId="3" applyNumberFormat="1" applyFont="1" applyFill="1" applyBorder="1" applyAlignment="1">
      <alignment horizontal="left" vertical="center"/>
    </xf>
    <xf numFmtId="168" fontId="4" fillId="0" borderId="1" xfId="3"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68" fontId="0" fillId="4" borderId="1" xfId="3" applyNumberFormat="1" applyFont="1" applyFill="1" applyBorder="1" applyAlignment="1">
      <alignment horizontal="left" vertical="center" wrapText="1"/>
    </xf>
    <xf numFmtId="167" fontId="0" fillId="4" borderId="1" xfId="3" applyNumberFormat="1" applyFont="1" applyFill="1" applyBorder="1" applyAlignment="1">
      <alignment horizontal="center" vertical="center"/>
    </xf>
    <xf numFmtId="169" fontId="1" fillId="0" borderId="0" xfId="0" applyNumberFormat="1" applyFont="1"/>
    <xf numFmtId="0" fontId="4" fillId="0" borderId="2" xfId="0" applyFont="1" applyBorder="1" applyAlignment="1">
      <alignment horizontal="left" vertical="center" wrapText="1"/>
    </xf>
    <xf numFmtId="0" fontId="1" fillId="0" borderId="0" xfId="0" applyFont="1" applyAlignment="1">
      <alignment horizontal="left" vertical="center"/>
    </xf>
    <xf numFmtId="167" fontId="4" fillId="0" borderId="0" xfId="3" applyNumberFormat="1" applyFont="1" applyFill="1" applyBorder="1" applyAlignment="1">
      <alignment horizontal="left" vertical="center"/>
    </xf>
    <xf numFmtId="168" fontId="4" fillId="0" borderId="0" xfId="3" applyNumberFormat="1" applyFont="1" applyFill="1" applyBorder="1" applyAlignment="1">
      <alignment horizontal="left" vertical="center"/>
    </xf>
    <xf numFmtId="0" fontId="4" fillId="0" borderId="15" xfId="0" applyFont="1" applyBorder="1" applyAlignment="1">
      <alignment horizontal="left" vertical="center"/>
    </xf>
    <xf numFmtId="167" fontId="1" fillId="0" borderId="1" xfId="3" applyNumberFormat="1" applyFont="1" applyFill="1" applyBorder="1" applyAlignment="1">
      <alignment horizontal="left" vertical="center"/>
    </xf>
    <xf numFmtId="0" fontId="4" fillId="0" borderId="2" xfId="0" applyFont="1" applyBorder="1" applyAlignment="1">
      <alignment vertical="center" wrapText="1"/>
    </xf>
    <xf numFmtId="167" fontId="0" fillId="0" borderId="0" xfId="3" applyNumberFormat="1" applyFont="1" applyFill="1" applyBorder="1" applyAlignment="1">
      <alignment horizontal="center" vertical="center"/>
    </xf>
    <xf numFmtId="168" fontId="0" fillId="0" borderId="0" xfId="3" applyNumberFormat="1" applyFont="1" applyFill="1" applyBorder="1" applyAlignment="1">
      <alignment horizontal="left" vertical="center" wrapText="1"/>
    </xf>
    <xf numFmtId="0" fontId="0" fillId="3" borderId="1" xfId="0" applyFill="1" applyBorder="1" applyAlignment="1">
      <alignment horizontal="center" vertical="center" wrapText="1"/>
    </xf>
    <xf numFmtId="0" fontId="4" fillId="2" borderId="1" xfId="3" applyNumberFormat="1" applyFont="1" applyFill="1" applyBorder="1" applyAlignment="1">
      <alignment horizontal="left" vertical="top" wrapText="1"/>
    </xf>
    <xf numFmtId="0" fontId="57" fillId="0" borderId="0" xfId="0" applyFont="1" applyAlignment="1">
      <alignment vertical="top" wrapText="1"/>
    </xf>
    <xf numFmtId="0" fontId="20" fillId="0" borderId="1" xfId="0" applyFont="1" applyBorder="1" applyAlignment="1">
      <alignment horizontal="left" vertical="top" wrapText="1"/>
    </xf>
    <xf numFmtId="0" fontId="37" fillId="14" borderId="0" xfId="0" applyFont="1" applyFill="1" applyAlignment="1">
      <alignment horizontal="left" vertical="center"/>
    </xf>
    <xf numFmtId="0" fontId="58" fillId="2" borderId="1" xfId="3" applyNumberFormat="1" applyFont="1" applyFill="1" applyBorder="1" applyAlignment="1">
      <alignment horizontal="left" wrapText="1"/>
    </xf>
    <xf numFmtId="168" fontId="4" fillId="0" borderId="9" xfId="3" applyNumberFormat="1" applyFont="1" applyFill="1" applyBorder="1" applyAlignment="1">
      <alignment horizontal="left" vertical="center"/>
    </xf>
    <xf numFmtId="1" fontId="0" fillId="0" borderId="1" xfId="3" applyNumberFormat="1" applyFont="1" applyFill="1" applyBorder="1" applyAlignment="1">
      <alignment horizontal="left" vertical="center"/>
    </xf>
    <xf numFmtId="1" fontId="0" fillId="0" borderId="9" xfId="3" applyNumberFormat="1" applyFont="1" applyFill="1" applyBorder="1" applyAlignment="1">
      <alignment horizontal="left" vertical="center"/>
    </xf>
    <xf numFmtId="1" fontId="0" fillId="0" borderId="2" xfId="3" applyNumberFormat="1" applyFont="1" applyFill="1" applyBorder="1" applyAlignment="1">
      <alignment horizontal="left" vertical="center"/>
    </xf>
    <xf numFmtId="1" fontId="0" fillId="0" borderId="5" xfId="3" applyNumberFormat="1" applyFont="1" applyFill="1" applyBorder="1" applyAlignment="1">
      <alignment horizontal="left" vertical="center"/>
    </xf>
    <xf numFmtId="1" fontId="4" fillId="0" borderId="2" xfId="3" applyNumberFormat="1" applyFont="1" applyFill="1" applyBorder="1" applyAlignment="1">
      <alignment horizontal="left" vertical="center"/>
    </xf>
    <xf numFmtId="1" fontId="4" fillId="0" borderId="1" xfId="3" applyNumberFormat="1" applyFont="1" applyFill="1" applyBorder="1" applyAlignment="1">
      <alignment horizontal="left" vertical="center"/>
    </xf>
    <xf numFmtId="1" fontId="4" fillId="0" borderId="9" xfId="3" applyNumberFormat="1" applyFont="1" applyFill="1" applyBorder="1" applyAlignment="1">
      <alignment horizontal="left" vertical="center"/>
    </xf>
    <xf numFmtId="1" fontId="4" fillId="0" borderId="0" xfId="3" applyNumberFormat="1" applyFont="1" applyFill="1" applyBorder="1" applyAlignment="1">
      <alignment horizontal="left" vertical="center"/>
    </xf>
    <xf numFmtId="1" fontId="0" fillId="0" borderId="0" xfId="0" applyNumberFormat="1" applyAlignment="1">
      <alignment horizontal="left" vertical="center"/>
    </xf>
    <xf numFmtId="1" fontId="1" fillId="0" borderId="1" xfId="3" applyNumberFormat="1" applyFont="1" applyFill="1" applyBorder="1" applyAlignment="1">
      <alignment horizontal="left" vertical="center" wrapText="1"/>
    </xf>
    <xf numFmtId="1" fontId="0" fillId="0" borderId="0" xfId="0" applyNumberFormat="1" applyAlignment="1">
      <alignment horizontal="left"/>
    </xf>
    <xf numFmtId="0" fontId="1" fillId="15" borderId="1" xfId="0" applyFont="1" applyFill="1" applyBorder="1" applyAlignment="1">
      <alignment horizontal="center" vertical="center"/>
    </xf>
    <xf numFmtId="168" fontId="1" fillId="15" borderId="1" xfId="3" applyNumberFormat="1" applyFont="1" applyFill="1" applyBorder="1" applyAlignment="1">
      <alignment horizontal="left" vertical="center" wrapText="1"/>
    </xf>
    <xf numFmtId="0" fontId="1" fillId="15" borderId="1" xfId="0" applyFont="1" applyFill="1" applyBorder="1" applyAlignment="1">
      <alignment horizontal="left" vertical="center"/>
    </xf>
    <xf numFmtId="167" fontId="1" fillId="15" borderId="1" xfId="3" applyNumberFormat="1" applyFont="1" applyFill="1" applyBorder="1" applyAlignment="1">
      <alignment horizontal="left" vertical="center"/>
    </xf>
    <xf numFmtId="0" fontId="37" fillId="16" borderId="0" xfId="0" applyFont="1" applyFill="1" applyAlignment="1">
      <alignment horizontal="left" vertical="center"/>
    </xf>
    <xf numFmtId="6" fontId="0" fillId="2" borderId="1" xfId="0" applyNumberFormat="1" applyFill="1" applyBorder="1" applyAlignment="1">
      <alignment vertical="top"/>
    </xf>
    <xf numFmtId="0" fontId="18" fillId="2" borderId="1" xfId="0" applyFont="1" applyFill="1" applyBorder="1" applyAlignment="1">
      <alignment horizontal="left"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167" fontId="4" fillId="15" borderId="1" xfId="3" applyNumberFormat="1" applyFont="1" applyFill="1" applyBorder="1" applyAlignment="1">
      <alignment horizontal="left" vertical="center"/>
    </xf>
    <xf numFmtId="1" fontId="4" fillId="0" borderId="1" xfId="3" applyNumberFormat="1" applyFont="1" applyFill="1" applyBorder="1" applyAlignment="1">
      <alignment horizontal="left" vertical="center" wrapText="1"/>
    </xf>
    <xf numFmtId="1" fontId="4" fillId="0" borderId="15" xfId="3" applyNumberFormat="1" applyFont="1" applyFill="1" applyBorder="1" applyAlignment="1">
      <alignment horizontal="left" vertical="center"/>
    </xf>
    <xf numFmtId="0" fontId="37" fillId="0" borderId="0" xfId="0" applyFont="1" applyAlignment="1">
      <alignment horizontal="left" vertical="center"/>
    </xf>
    <xf numFmtId="0" fontId="0" fillId="15" borderId="1" xfId="0" applyFill="1" applyBorder="1" applyAlignment="1">
      <alignment horizontal="left" vertical="center"/>
    </xf>
    <xf numFmtId="167" fontId="0" fillId="15" borderId="1" xfId="3" applyNumberFormat="1" applyFont="1" applyFill="1" applyBorder="1" applyAlignment="1">
      <alignment horizontal="left" vertical="center"/>
    </xf>
    <xf numFmtId="1" fontId="0" fillId="0" borderId="1" xfId="3" applyNumberFormat="1" applyFont="1" applyFill="1" applyBorder="1" applyAlignment="1">
      <alignment horizontal="left" vertical="center" wrapText="1"/>
    </xf>
    <xf numFmtId="0" fontId="0" fillId="15" borderId="1" xfId="0" applyFill="1" applyBorder="1" applyAlignment="1">
      <alignment horizontal="center" vertical="center"/>
    </xf>
    <xf numFmtId="168" fontId="0" fillId="15" borderId="1" xfId="3" applyNumberFormat="1" applyFont="1" applyFill="1" applyBorder="1" applyAlignment="1">
      <alignment horizontal="left" vertical="center" wrapText="1"/>
    </xf>
    <xf numFmtId="0" fontId="0" fillId="15" borderId="1" xfId="0" applyFill="1" applyBorder="1" applyAlignment="1">
      <alignment horizontal="left" vertical="center" wrapText="1"/>
    </xf>
    <xf numFmtId="0" fontId="37" fillId="17" borderId="0" xfId="0" applyFont="1" applyFill="1" applyAlignment="1">
      <alignment horizontal="left" vertical="center"/>
    </xf>
    <xf numFmtId="0" fontId="0" fillId="0" borderId="1" xfId="2" applyFont="1" applyBorder="1" applyAlignment="1">
      <alignment horizontal="left" vertical="center" wrapText="1"/>
    </xf>
    <xf numFmtId="167" fontId="0" fillId="0" borderId="1" xfId="3" applyNumberFormat="1" applyFont="1" applyFill="1" applyBorder="1" applyAlignment="1">
      <alignment horizontal="left" vertical="center"/>
    </xf>
    <xf numFmtId="1" fontId="9" fillId="0" borderId="1" xfId="3" applyNumberFormat="1" applyFont="1" applyFill="1" applyBorder="1" applyAlignment="1">
      <alignment horizontal="left" vertical="center" wrapText="1"/>
    </xf>
    <xf numFmtId="1" fontId="9" fillId="0" borderId="0" xfId="3" applyNumberFormat="1" applyFont="1" applyFill="1" applyBorder="1" applyAlignment="1">
      <alignment horizontal="left" vertical="center"/>
    </xf>
    <xf numFmtId="1" fontId="9" fillId="0" borderId="0" xfId="0" applyNumberFormat="1" applyFont="1" applyAlignment="1">
      <alignment horizontal="left" vertical="center"/>
    </xf>
    <xf numFmtId="1" fontId="9" fillId="0" borderId="0" xfId="0" applyNumberFormat="1" applyFont="1" applyAlignment="1">
      <alignment horizontal="left"/>
    </xf>
    <xf numFmtId="168" fontId="1" fillId="0" borderId="1" xfId="3" applyNumberFormat="1" applyFont="1" applyFill="1" applyBorder="1" applyAlignment="1">
      <alignment horizontal="left" vertical="center"/>
    </xf>
    <xf numFmtId="0" fontId="4" fillId="0" borderId="0" xfId="2" applyFont="1" applyAlignment="1">
      <alignment horizontal="left" vertical="center" wrapText="1"/>
    </xf>
    <xf numFmtId="0" fontId="4" fillId="0" borderId="0" xfId="0" applyFont="1" applyAlignment="1">
      <alignment horizontal="left" vertical="center"/>
    </xf>
    <xf numFmtId="1" fontId="9" fillId="0" borderId="0" xfId="3" applyNumberFormat="1" applyFont="1" applyFill="1" applyBorder="1" applyAlignment="1">
      <alignment horizontal="left" vertical="center" wrapText="1"/>
    </xf>
    <xf numFmtId="0" fontId="1" fillId="0" borderId="9" xfId="2" applyFont="1" applyBorder="1" applyAlignment="1">
      <alignment horizontal="left" vertical="center" wrapText="1"/>
    </xf>
    <xf numFmtId="0" fontId="1" fillId="0" borderId="9" xfId="0" applyFont="1" applyBorder="1" applyAlignment="1">
      <alignment horizontal="left" vertical="center"/>
    </xf>
    <xf numFmtId="167" fontId="1" fillId="0" borderId="9" xfId="3" applyNumberFormat="1" applyFont="1" applyFill="1" applyBorder="1" applyAlignment="1">
      <alignment horizontal="left" vertical="center"/>
    </xf>
    <xf numFmtId="0" fontId="1" fillId="0" borderId="9" xfId="0" applyFont="1" applyBorder="1" applyAlignment="1">
      <alignment horizontal="left" vertical="center" wrapText="1"/>
    </xf>
    <xf numFmtId="3" fontId="1" fillId="0" borderId="0" xfId="0" applyNumberFormat="1" applyFont="1" applyAlignment="1">
      <alignment horizontal="left"/>
    </xf>
    <xf numFmtId="0" fontId="0" fillId="2" borderId="16" xfId="0" applyFill="1" applyBorder="1" applyAlignment="1">
      <alignment horizontal="center"/>
    </xf>
    <xf numFmtId="0" fontId="0" fillId="2" borderId="8" xfId="0" applyFill="1" applyBorder="1" applyAlignment="1">
      <alignment horizontal="center"/>
    </xf>
    <xf numFmtId="0" fontId="0" fillId="2" borderId="17" xfId="0" applyFill="1" applyBorder="1" applyAlignment="1">
      <alignment horizontal="center"/>
    </xf>
    <xf numFmtId="0" fontId="0" fillId="2" borderId="14"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0" borderId="14" xfId="0" applyBorder="1" applyAlignment="1">
      <alignment horizontal="center" wrapText="1"/>
    </xf>
    <xf numFmtId="0" fontId="0" fillId="0" borderId="0" xfId="0" applyAlignment="1">
      <alignment horizontal="center" wrapText="1"/>
    </xf>
    <xf numFmtId="0" fontId="12" fillId="2" borderId="1" xfId="0" applyFont="1" applyFill="1" applyBorder="1" applyAlignment="1">
      <alignment horizontal="center"/>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15" xfId="0" applyFill="1" applyBorder="1" applyAlignment="1">
      <alignment horizontal="left" vertical="center" wrapText="1"/>
    </xf>
    <xf numFmtId="0" fontId="12" fillId="2" borderId="2" xfId="0" applyFont="1" applyFill="1" applyBorder="1" applyAlignment="1">
      <alignment horizontal="center"/>
    </xf>
    <xf numFmtId="0" fontId="12" fillId="2" borderId="15" xfId="0" applyFont="1" applyFill="1" applyBorder="1" applyAlignment="1">
      <alignment horizontal="center"/>
    </xf>
    <xf numFmtId="0" fontId="12" fillId="0" borderId="6" xfId="0" applyFont="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0" fillId="0" borderId="5" xfId="0" applyBorder="1" applyAlignment="1">
      <alignment horizontal="center" wrapText="1"/>
    </xf>
    <xf numFmtId="0" fontId="0" fillId="0" borderId="6" xfId="0" applyBorder="1" applyAlignment="1">
      <alignment horizontal="center" wrapText="1"/>
    </xf>
    <xf numFmtId="0" fontId="13" fillId="2" borderId="4" xfId="0" applyFont="1" applyFill="1" applyBorder="1" applyAlignment="1">
      <alignment horizontal="center" vertical="center"/>
    </xf>
    <xf numFmtId="0" fontId="13" fillId="2" borderId="9" xfId="0" applyFont="1" applyFill="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33" fillId="0" borderId="0" xfId="0" applyFont="1" applyAlignment="1">
      <alignment horizontal="center"/>
    </xf>
    <xf numFmtId="0" fontId="53" fillId="2" borderId="4" xfId="0" applyFont="1" applyFill="1" applyBorder="1" applyAlignment="1">
      <alignment horizontal="center" vertical="center"/>
    </xf>
    <xf numFmtId="0" fontId="53" fillId="2" borderId="9"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0" fillId="5" borderId="2" xfId="0" applyFill="1" applyBorder="1" applyAlignment="1">
      <alignment vertical="center" wrapText="1"/>
    </xf>
    <xf numFmtId="0" fontId="0" fillId="5" borderId="3" xfId="0" applyFill="1" applyBorder="1" applyAlignment="1">
      <alignment vertical="center" wrapText="1"/>
    </xf>
    <xf numFmtId="0" fontId="0" fillId="5" borderId="15" xfId="0" applyFill="1" applyBorder="1" applyAlignment="1">
      <alignment vertical="center" wrapText="1"/>
    </xf>
    <xf numFmtId="0" fontId="0" fillId="0" borderId="0" xfId="0"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15" xfId="0" applyFont="1" applyFill="1" applyBorder="1" applyAlignment="1">
      <alignment horizontal="center"/>
    </xf>
    <xf numFmtId="0" fontId="2" fillId="0" borderId="0" xfId="0" applyFont="1" applyAlignment="1">
      <alignment horizontal="center"/>
    </xf>
    <xf numFmtId="0" fontId="15" fillId="2" borderId="4"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5" fillId="2" borderId="4" xfId="0" applyFont="1" applyFill="1" applyBorder="1" applyAlignment="1">
      <alignment horizontal="left" vertical="center"/>
    </xf>
    <xf numFmtId="0" fontId="15" fillId="2" borderId="9" xfId="0" applyFont="1" applyFill="1" applyBorder="1" applyAlignment="1">
      <alignment horizontal="left"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15" xfId="0"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0" fillId="5" borderId="15" xfId="0" applyFill="1" applyBorder="1" applyAlignment="1">
      <alignment horizontal="left" wrapText="1"/>
    </xf>
    <xf numFmtId="0" fontId="24" fillId="2" borderId="4" xfId="0" applyFont="1" applyFill="1" applyBorder="1" applyAlignment="1">
      <alignment horizontal="left" vertical="center"/>
    </xf>
    <xf numFmtId="0" fontId="24" fillId="2" borderId="9" xfId="0" applyFont="1" applyFill="1" applyBorder="1" applyAlignment="1">
      <alignment horizontal="left" vertical="center"/>
    </xf>
    <xf numFmtId="0" fontId="5" fillId="5" borderId="2" xfId="0" applyFont="1" applyFill="1" applyBorder="1" applyAlignment="1">
      <alignment horizontal="left" wrapText="1"/>
    </xf>
    <xf numFmtId="0" fontId="5" fillId="5" borderId="3" xfId="0" applyFont="1" applyFill="1" applyBorder="1" applyAlignment="1">
      <alignment horizontal="left" wrapText="1"/>
    </xf>
    <xf numFmtId="0" fontId="5" fillId="5" borderId="15" xfId="0" applyFont="1" applyFill="1" applyBorder="1" applyAlignment="1">
      <alignment horizontal="left" wrapText="1"/>
    </xf>
    <xf numFmtId="0" fontId="13" fillId="2" borderId="16" xfId="0" applyFont="1" applyFill="1" applyBorder="1" applyAlignment="1">
      <alignment horizontal="center" wrapText="1"/>
    </xf>
    <xf numFmtId="0" fontId="13" fillId="2" borderId="8" xfId="0" applyFont="1" applyFill="1" applyBorder="1" applyAlignment="1">
      <alignment horizontal="center" wrapText="1"/>
    </xf>
    <xf numFmtId="0" fontId="13" fillId="2" borderId="17" xfId="0" applyFont="1" applyFill="1" applyBorder="1" applyAlignment="1">
      <alignment horizontal="center" wrapText="1"/>
    </xf>
    <xf numFmtId="0" fontId="13" fillId="2" borderId="14" xfId="0" applyFont="1" applyFill="1" applyBorder="1" applyAlignment="1">
      <alignment horizontal="center" wrapText="1"/>
    </xf>
    <xf numFmtId="0" fontId="13" fillId="2" borderId="0" xfId="0" applyFont="1" applyFill="1" applyAlignment="1">
      <alignment horizontal="center" wrapText="1"/>
    </xf>
    <xf numFmtId="0" fontId="13" fillId="2" borderId="10" xfId="0" applyFont="1" applyFill="1" applyBorder="1" applyAlignment="1">
      <alignment horizontal="center" wrapText="1"/>
    </xf>
    <xf numFmtId="0" fontId="13" fillId="2" borderId="5" xfId="0" applyFont="1" applyFill="1" applyBorder="1" applyAlignment="1">
      <alignment horizontal="center" wrapText="1"/>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15" xfId="0" applyFont="1" applyFill="1" applyBorder="1" applyAlignment="1">
      <alignmen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2" fillId="0" borderId="6" xfId="0" applyFont="1" applyBorder="1" applyAlignment="1">
      <alignment horizontal="center"/>
    </xf>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28" fillId="2" borderId="1" xfId="0" applyFont="1" applyFill="1" applyBorder="1" applyAlignment="1">
      <alignment horizontal="center"/>
    </xf>
    <xf numFmtId="0" fontId="13" fillId="2" borderId="16" xfId="0" applyFont="1" applyFill="1" applyBorder="1" applyAlignment="1">
      <alignment wrapText="1"/>
    </xf>
    <xf numFmtId="0" fontId="13" fillId="2" borderId="8" xfId="0" applyFont="1" applyFill="1" applyBorder="1" applyAlignment="1">
      <alignment wrapText="1"/>
    </xf>
    <xf numFmtId="0" fontId="13" fillId="2" borderId="17" xfId="0" applyFont="1" applyFill="1" applyBorder="1" applyAlignment="1">
      <alignment wrapText="1"/>
    </xf>
    <xf numFmtId="0" fontId="13" fillId="2" borderId="14" xfId="0" applyFont="1" applyFill="1" applyBorder="1" applyAlignment="1">
      <alignment wrapText="1"/>
    </xf>
    <xf numFmtId="0" fontId="13" fillId="2" borderId="0" xfId="0" applyFont="1" applyFill="1" applyAlignment="1">
      <alignment wrapText="1"/>
    </xf>
    <xf numFmtId="0" fontId="13" fillId="2" borderId="10" xfId="0" applyFont="1" applyFill="1" applyBorder="1" applyAlignment="1">
      <alignment wrapText="1"/>
    </xf>
    <xf numFmtId="0" fontId="13" fillId="2" borderId="5" xfId="0" applyFont="1" applyFill="1" applyBorder="1" applyAlignment="1">
      <alignment wrapText="1"/>
    </xf>
    <xf numFmtId="0" fontId="13" fillId="2" borderId="6" xfId="0" applyFont="1" applyFill="1" applyBorder="1" applyAlignment="1">
      <alignment wrapText="1"/>
    </xf>
    <xf numFmtId="0" fontId="13" fillId="2" borderId="7" xfId="0" applyFont="1" applyFill="1" applyBorder="1" applyAlignment="1">
      <alignment wrapText="1"/>
    </xf>
    <xf numFmtId="0" fontId="13" fillId="2" borderId="16" xfId="0" applyFont="1" applyFill="1" applyBorder="1" applyAlignment="1">
      <alignment horizontal="left" wrapText="1"/>
    </xf>
    <xf numFmtId="0" fontId="13" fillId="2" borderId="8" xfId="0" applyFont="1" applyFill="1" applyBorder="1" applyAlignment="1">
      <alignment horizontal="left" wrapText="1"/>
    </xf>
    <xf numFmtId="0" fontId="13" fillId="2" borderId="17" xfId="0" applyFont="1" applyFill="1" applyBorder="1" applyAlignment="1">
      <alignment horizontal="left" wrapText="1"/>
    </xf>
    <xf numFmtId="0" fontId="13" fillId="2" borderId="14" xfId="0" applyFont="1" applyFill="1" applyBorder="1" applyAlignment="1">
      <alignment horizontal="left" wrapText="1"/>
    </xf>
    <xf numFmtId="0" fontId="13" fillId="2" borderId="0" xfId="0" applyFont="1" applyFill="1" applyAlignment="1">
      <alignment horizontal="left" wrapText="1"/>
    </xf>
    <xf numFmtId="0" fontId="13" fillId="2" borderId="10" xfId="0" applyFont="1" applyFill="1" applyBorder="1" applyAlignment="1">
      <alignment horizontal="left" wrapText="1"/>
    </xf>
    <xf numFmtId="0" fontId="13" fillId="2" borderId="5" xfId="0" applyFont="1" applyFill="1" applyBorder="1" applyAlignment="1">
      <alignment horizontal="left" wrapText="1"/>
    </xf>
    <xf numFmtId="0" fontId="13" fillId="2" borderId="6" xfId="0" applyFont="1" applyFill="1" applyBorder="1" applyAlignment="1">
      <alignment horizontal="left" wrapText="1"/>
    </xf>
    <xf numFmtId="0" fontId="13" fillId="2" borderId="7" xfId="0" applyFont="1" applyFill="1" applyBorder="1" applyAlignment="1">
      <alignment horizontal="left"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5" xfId="0" applyFill="1" applyBorder="1" applyAlignment="1">
      <alignment horizontal="left" vertical="top" wrapText="1"/>
    </xf>
    <xf numFmtId="0" fontId="51" fillId="0" borderId="22" xfId="0" applyFont="1" applyBorder="1" applyAlignment="1">
      <alignment horizontal="center" vertical="center"/>
    </xf>
    <xf numFmtId="0" fontId="51" fillId="0" borderId="23" xfId="0" applyFont="1" applyBorder="1" applyAlignment="1">
      <alignment horizontal="center" vertical="center"/>
    </xf>
    <xf numFmtId="0" fontId="24" fillId="2" borderId="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15" xfId="0" applyFont="1" applyFill="1" applyBorder="1" applyAlignment="1">
      <alignment horizontal="left" vertical="top" wrapText="1"/>
    </xf>
    <xf numFmtId="0" fontId="36" fillId="2" borderId="2" xfId="0" applyFont="1" applyFill="1" applyBorder="1" applyAlignment="1">
      <alignment horizontal="center" vertical="center"/>
    </xf>
    <xf numFmtId="0" fontId="36" fillId="2" borderId="1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cellXfs>
  <cellStyles count="4">
    <cellStyle name="Comma" xfId="1" builtinId="3"/>
    <cellStyle name="Currency" xfId="3" builtinId="4"/>
    <cellStyle name="Normal" xfId="0" builtinId="0"/>
    <cellStyle name="Normal 3" xfId="2" xr:uid="{00000000-0005-0000-0000-000003000000}"/>
  </cellStyles>
  <dxfs count="2">
    <dxf>
      <fill>
        <patternFill patternType="lightGray">
          <fgColor rgb="FFFFC000"/>
        </patternFill>
      </fill>
    </dxf>
    <dxf>
      <fill>
        <patternFill patternType="lightGray">
          <f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51060922466014E-2"/>
          <c:y val="6.1776061776061784E-2"/>
          <c:w val="0.81505152802854464"/>
          <c:h val="0.86100386100386095"/>
        </c:manualLayout>
      </c:layout>
      <c:lineChart>
        <c:grouping val="standard"/>
        <c:varyColors val="0"/>
        <c:ser>
          <c:idx val="0"/>
          <c:order val="0"/>
          <c:tx>
            <c:v>50/50</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0"/>
            <c:dispEq val="0"/>
          </c:trendline>
          <c:trendline>
            <c:spPr>
              <a:ln w="25400">
                <a:solidFill>
                  <a:srgbClr val="000000"/>
                </a:solidFill>
                <a:prstDash val="solid"/>
              </a:ln>
            </c:spPr>
            <c:trendlineType val="linear"/>
            <c:dispRSqr val="0"/>
            <c:dispEq val="0"/>
          </c:trendline>
          <c:cat>
            <c:numRef>
              <c:f>[1]St.Albans!$V$6:$V$11</c:f>
              <c:numCache>
                <c:formatCode>General</c:formatCode>
                <c:ptCount val="6"/>
                <c:pt idx="0">
                  <c:v>2006</c:v>
                </c:pt>
                <c:pt idx="1">
                  <c:v>2007</c:v>
                </c:pt>
                <c:pt idx="2">
                  <c:v>2008</c:v>
                </c:pt>
                <c:pt idx="3">
                  <c:v>2009</c:v>
                </c:pt>
                <c:pt idx="4">
                  <c:v>2010</c:v>
                </c:pt>
                <c:pt idx="5">
                  <c:v>2011</c:v>
                </c:pt>
              </c:numCache>
            </c:numRef>
          </c:cat>
          <c:val>
            <c:numRef>
              <c:f>[1]St.Albans!$W$6:$W$11</c:f>
              <c:numCache>
                <c:formatCode>General</c:formatCode>
                <c:ptCount val="6"/>
                <c:pt idx="0">
                  <c:v>25.499738738738738</c:v>
                </c:pt>
                <c:pt idx="1">
                  <c:v>25.122604651162789</c:v>
                </c:pt>
                <c:pt idx="2">
                  <c:v>25.088999999999999</c:v>
                </c:pt>
                <c:pt idx="3">
                  <c:v>23.552761467889908</c:v>
                </c:pt>
                <c:pt idx="4">
                  <c:v>25.457324324324325</c:v>
                </c:pt>
                <c:pt idx="5">
                  <c:v>25.448676190476188</c:v>
                </c:pt>
              </c:numCache>
            </c:numRef>
          </c:val>
          <c:smooth val="0"/>
          <c:extLst>
            <c:ext xmlns:c16="http://schemas.microsoft.com/office/drawing/2014/chart" uri="{C3380CC4-5D6E-409C-BE32-E72D297353CC}">
              <c16:uniqueId val="{00000000-D51C-4821-B326-A9045D8258CE}"/>
            </c:ext>
          </c:extLst>
        </c:ser>
        <c:ser>
          <c:idx val="1"/>
          <c:order val="1"/>
          <c:tx>
            <c:v>90/10</c:v>
          </c:tx>
          <c:spPr>
            <a:ln w="12700">
              <a:solidFill>
                <a:srgbClr val="FF00FF"/>
              </a:solidFill>
              <a:prstDash val="solid"/>
            </a:ln>
          </c:spPr>
          <c:marker>
            <c:symbol val="square"/>
            <c:size val="5"/>
            <c:spPr>
              <a:solidFill>
                <a:srgbClr val="FF00FF"/>
              </a:solidFill>
              <a:ln>
                <a:solidFill>
                  <a:srgbClr val="FF00FF"/>
                </a:solidFill>
                <a:prstDash val="solid"/>
              </a:ln>
            </c:spPr>
          </c:marker>
          <c:trendline>
            <c:spPr>
              <a:ln w="25400">
                <a:solidFill>
                  <a:srgbClr val="000000"/>
                </a:solidFill>
                <a:prstDash val="solid"/>
              </a:ln>
            </c:spPr>
            <c:trendlineType val="exp"/>
            <c:dispRSqr val="0"/>
            <c:dispEq val="0"/>
          </c:trendline>
          <c:cat>
            <c:numRef>
              <c:f>[1]St.Albans!$V$6:$V$11</c:f>
              <c:numCache>
                <c:formatCode>General</c:formatCode>
                <c:ptCount val="6"/>
                <c:pt idx="0">
                  <c:v>2006</c:v>
                </c:pt>
                <c:pt idx="1">
                  <c:v>2007</c:v>
                </c:pt>
                <c:pt idx="2">
                  <c:v>2008</c:v>
                </c:pt>
                <c:pt idx="3">
                  <c:v>2009</c:v>
                </c:pt>
                <c:pt idx="4">
                  <c:v>2010</c:v>
                </c:pt>
                <c:pt idx="5">
                  <c:v>2011</c:v>
                </c:pt>
              </c:numCache>
            </c:numRef>
          </c:cat>
          <c:val>
            <c:numRef>
              <c:f>[1]St.Albans!$X$6:$X$11</c:f>
              <c:numCache>
                <c:formatCode>General</c:formatCode>
                <c:ptCount val="6"/>
                <c:pt idx="0">
                  <c:v>26.452999999999999</c:v>
                </c:pt>
                <c:pt idx="1">
                  <c:v>26.061767441860464</c:v>
                </c:pt>
                <c:pt idx="2">
                  <c:v>26.026906542056075</c:v>
                </c:pt>
                <c:pt idx="3">
                  <c:v>24.433238532110092</c:v>
                </c:pt>
                <c:pt idx="4">
                  <c:v>26.409000000000002</c:v>
                </c:pt>
                <c:pt idx="5">
                  <c:v>26.400028571428571</c:v>
                </c:pt>
              </c:numCache>
            </c:numRef>
          </c:val>
          <c:smooth val="0"/>
          <c:extLst>
            <c:ext xmlns:c16="http://schemas.microsoft.com/office/drawing/2014/chart" uri="{C3380CC4-5D6E-409C-BE32-E72D297353CC}">
              <c16:uniqueId val="{00000001-D51C-4821-B326-A9045D8258CE}"/>
            </c:ext>
          </c:extLst>
        </c:ser>
        <c:dLbls>
          <c:showLegendKey val="0"/>
          <c:showVal val="0"/>
          <c:showCatName val="0"/>
          <c:showSerName val="0"/>
          <c:showPercent val="0"/>
          <c:showBubbleSize val="0"/>
        </c:dLbls>
        <c:marker val="1"/>
        <c:smooth val="0"/>
        <c:axId val="102236928"/>
        <c:axId val="102238464"/>
      </c:lineChart>
      <c:catAx>
        <c:axId val="10223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2238464"/>
        <c:crosses val="autoZero"/>
        <c:auto val="1"/>
        <c:lblAlgn val="ctr"/>
        <c:lblOffset val="100"/>
        <c:tickLblSkip val="1"/>
        <c:tickMarkSkip val="1"/>
        <c:noMultiLvlLbl val="0"/>
      </c:catAx>
      <c:valAx>
        <c:axId val="1022384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2236928"/>
        <c:crosses val="autoZero"/>
        <c:crossBetween val="between"/>
      </c:valAx>
      <c:spPr>
        <a:solidFill>
          <a:srgbClr val="C0C0C0"/>
        </a:solidFill>
        <a:ln w="12700">
          <a:solidFill>
            <a:srgbClr val="808080"/>
          </a:solidFill>
          <a:prstDash val="solid"/>
        </a:ln>
      </c:spPr>
    </c:plotArea>
    <c:legend>
      <c:legendPos val="r"/>
      <c:layout>
        <c:manualLayout>
          <c:xMode val="edge"/>
          <c:yMode val="edge"/>
          <c:x val="0.83673521500270065"/>
          <c:y val="0.45366795366795382"/>
          <c:w val="0.15816336381148699"/>
          <c:h val="0.20463320463320464"/>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51060922466014E-2"/>
          <c:y val="6.1776061776061784E-2"/>
          <c:w val="0.81505152802854464"/>
          <c:h val="0.86100386100386095"/>
        </c:manualLayout>
      </c:layout>
      <c:lineChart>
        <c:grouping val="standard"/>
        <c:varyColors val="0"/>
        <c:ser>
          <c:idx val="0"/>
          <c:order val="0"/>
          <c:tx>
            <c:v>50/50</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0"/>
            <c:dispEq val="0"/>
          </c:trendline>
          <c:trendline>
            <c:spPr>
              <a:ln w="25400">
                <a:solidFill>
                  <a:srgbClr val="000000"/>
                </a:solidFill>
                <a:prstDash val="solid"/>
              </a:ln>
            </c:spPr>
            <c:trendlineType val="linear"/>
            <c:dispRSqr val="0"/>
            <c:dispEq val="0"/>
          </c:trendline>
          <c:cat>
            <c:numRef>
              <c:f>[1]St.Albans!$V$6:$V$11</c:f>
              <c:numCache>
                <c:formatCode>General</c:formatCode>
                <c:ptCount val="6"/>
                <c:pt idx="0">
                  <c:v>2006</c:v>
                </c:pt>
                <c:pt idx="1">
                  <c:v>2007</c:v>
                </c:pt>
                <c:pt idx="2">
                  <c:v>2008</c:v>
                </c:pt>
                <c:pt idx="3">
                  <c:v>2009</c:v>
                </c:pt>
                <c:pt idx="4">
                  <c:v>2010</c:v>
                </c:pt>
                <c:pt idx="5">
                  <c:v>2011</c:v>
                </c:pt>
              </c:numCache>
            </c:numRef>
          </c:cat>
          <c:val>
            <c:numRef>
              <c:f>[1]St.Albans!$W$6:$W$11</c:f>
              <c:numCache>
                <c:formatCode>General</c:formatCode>
                <c:ptCount val="6"/>
                <c:pt idx="0">
                  <c:v>25.499738738738738</c:v>
                </c:pt>
                <c:pt idx="1">
                  <c:v>25.122604651162789</c:v>
                </c:pt>
                <c:pt idx="2">
                  <c:v>25.088999999999999</c:v>
                </c:pt>
                <c:pt idx="3">
                  <c:v>23.552761467889908</c:v>
                </c:pt>
                <c:pt idx="4">
                  <c:v>25.457324324324325</c:v>
                </c:pt>
                <c:pt idx="5">
                  <c:v>25.448676190476188</c:v>
                </c:pt>
              </c:numCache>
            </c:numRef>
          </c:val>
          <c:smooth val="0"/>
          <c:extLst>
            <c:ext xmlns:c16="http://schemas.microsoft.com/office/drawing/2014/chart" uri="{C3380CC4-5D6E-409C-BE32-E72D297353CC}">
              <c16:uniqueId val="{00000000-5538-4264-82C7-E2B36DE9ACD3}"/>
            </c:ext>
          </c:extLst>
        </c:ser>
        <c:ser>
          <c:idx val="1"/>
          <c:order val="1"/>
          <c:tx>
            <c:v>90/10</c:v>
          </c:tx>
          <c:spPr>
            <a:ln w="12700">
              <a:solidFill>
                <a:srgbClr val="FF00FF"/>
              </a:solidFill>
              <a:prstDash val="solid"/>
            </a:ln>
          </c:spPr>
          <c:marker>
            <c:symbol val="square"/>
            <c:size val="5"/>
            <c:spPr>
              <a:solidFill>
                <a:srgbClr val="FF00FF"/>
              </a:solidFill>
              <a:ln>
                <a:solidFill>
                  <a:srgbClr val="FF00FF"/>
                </a:solidFill>
                <a:prstDash val="solid"/>
              </a:ln>
            </c:spPr>
          </c:marker>
          <c:trendline>
            <c:spPr>
              <a:ln w="25400">
                <a:solidFill>
                  <a:srgbClr val="000000"/>
                </a:solidFill>
                <a:prstDash val="solid"/>
              </a:ln>
            </c:spPr>
            <c:trendlineType val="exp"/>
            <c:dispRSqr val="0"/>
            <c:dispEq val="0"/>
          </c:trendline>
          <c:cat>
            <c:numRef>
              <c:f>[1]St.Albans!$V$6:$V$11</c:f>
              <c:numCache>
                <c:formatCode>General</c:formatCode>
                <c:ptCount val="6"/>
                <c:pt idx="0">
                  <c:v>2006</c:v>
                </c:pt>
                <c:pt idx="1">
                  <c:v>2007</c:v>
                </c:pt>
                <c:pt idx="2">
                  <c:v>2008</c:v>
                </c:pt>
                <c:pt idx="3">
                  <c:v>2009</c:v>
                </c:pt>
                <c:pt idx="4">
                  <c:v>2010</c:v>
                </c:pt>
                <c:pt idx="5">
                  <c:v>2011</c:v>
                </c:pt>
              </c:numCache>
            </c:numRef>
          </c:cat>
          <c:val>
            <c:numRef>
              <c:f>[1]St.Albans!$X$6:$X$11</c:f>
              <c:numCache>
                <c:formatCode>General</c:formatCode>
                <c:ptCount val="6"/>
                <c:pt idx="0">
                  <c:v>26.452999999999999</c:v>
                </c:pt>
                <c:pt idx="1">
                  <c:v>26.061767441860464</c:v>
                </c:pt>
                <c:pt idx="2">
                  <c:v>26.026906542056075</c:v>
                </c:pt>
                <c:pt idx="3">
                  <c:v>24.433238532110092</c:v>
                </c:pt>
                <c:pt idx="4">
                  <c:v>26.409000000000002</c:v>
                </c:pt>
                <c:pt idx="5">
                  <c:v>26.400028571428571</c:v>
                </c:pt>
              </c:numCache>
            </c:numRef>
          </c:val>
          <c:smooth val="0"/>
          <c:extLst>
            <c:ext xmlns:c16="http://schemas.microsoft.com/office/drawing/2014/chart" uri="{C3380CC4-5D6E-409C-BE32-E72D297353CC}">
              <c16:uniqueId val="{00000001-5538-4264-82C7-E2B36DE9ACD3}"/>
            </c:ext>
          </c:extLst>
        </c:ser>
        <c:dLbls>
          <c:showLegendKey val="0"/>
          <c:showVal val="0"/>
          <c:showCatName val="0"/>
          <c:showSerName val="0"/>
          <c:showPercent val="0"/>
          <c:showBubbleSize val="0"/>
        </c:dLbls>
        <c:marker val="1"/>
        <c:smooth val="0"/>
        <c:axId val="100653312"/>
        <c:axId val="100659200"/>
      </c:lineChart>
      <c:catAx>
        <c:axId val="10065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0659200"/>
        <c:crosses val="autoZero"/>
        <c:auto val="1"/>
        <c:lblAlgn val="ctr"/>
        <c:lblOffset val="100"/>
        <c:tickLblSkip val="1"/>
        <c:tickMarkSkip val="1"/>
        <c:noMultiLvlLbl val="0"/>
      </c:catAx>
      <c:valAx>
        <c:axId val="100659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0653312"/>
        <c:crosses val="autoZero"/>
        <c:crossBetween val="between"/>
      </c:valAx>
      <c:spPr>
        <a:solidFill>
          <a:srgbClr val="C0C0C0"/>
        </a:solidFill>
        <a:ln w="12700">
          <a:solidFill>
            <a:srgbClr val="808080"/>
          </a:solidFill>
          <a:prstDash val="solid"/>
        </a:ln>
      </c:spPr>
    </c:plotArea>
    <c:legend>
      <c:legendPos val="r"/>
      <c:layout>
        <c:manualLayout>
          <c:xMode val="edge"/>
          <c:yMode val="edge"/>
          <c:x val="0.83673521500270065"/>
          <c:y val="0.45366795366795382"/>
          <c:w val="0.15816336381148718"/>
          <c:h val="0.20463320463320464"/>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38819093022798E-2"/>
          <c:y val="4.6393307862124734E-2"/>
          <c:w val="0.70447812534844723"/>
          <c:h val="0.87058990232441769"/>
        </c:manualLayout>
      </c:layout>
      <c:scatterChart>
        <c:scatterStyle val="lineMarker"/>
        <c:varyColors val="0"/>
        <c:ser>
          <c:idx val="1"/>
          <c:order val="0"/>
          <c:tx>
            <c:v>2004 to 2011</c:v>
          </c:tx>
          <c:spPr>
            <a:ln w="28575">
              <a:noFill/>
            </a:ln>
          </c:spPr>
          <c:marker>
            <c:symbol val="square"/>
            <c:size val="5"/>
            <c:spPr>
              <a:solidFill>
                <a:srgbClr val="FF00FF"/>
              </a:solidFill>
              <a:ln>
                <a:solidFill>
                  <a:srgbClr val="FF00FF"/>
                </a:solidFill>
                <a:prstDash val="solid"/>
              </a:ln>
            </c:spPr>
          </c:marker>
          <c:trendline>
            <c:trendlineType val="poly"/>
            <c:order val="2"/>
            <c:dispRSqr val="0"/>
            <c:dispEq val="0"/>
          </c:trendline>
          <c:trendline>
            <c:trendlineType val="linear"/>
            <c:dispRSqr val="0"/>
            <c:dispEq val="0"/>
          </c:trendline>
          <c:xVal>
            <c:numRef>
              <c:f>[2]Bratt!$O$20:$O$27</c:f>
              <c:numCache>
                <c:formatCode>General</c:formatCode>
                <c:ptCount val="8"/>
                <c:pt idx="0">
                  <c:v>2004</c:v>
                </c:pt>
                <c:pt idx="1">
                  <c:v>2005</c:v>
                </c:pt>
                <c:pt idx="2">
                  <c:v>2006</c:v>
                </c:pt>
                <c:pt idx="3">
                  <c:v>2007</c:v>
                </c:pt>
                <c:pt idx="4">
                  <c:v>2008</c:v>
                </c:pt>
                <c:pt idx="5">
                  <c:v>2009</c:v>
                </c:pt>
                <c:pt idx="6">
                  <c:v>2010</c:v>
                </c:pt>
                <c:pt idx="7">
                  <c:v>2011</c:v>
                </c:pt>
              </c:numCache>
            </c:numRef>
          </c:xVal>
          <c:yVal>
            <c:numRef>
              <c:f>[2]Bratt!$P$20:$P$27</c:f>
              <c:numCache>
                <c:formatCode>General</c:formatCode>
                <c:ptCount val="8"/>
                <c:pt idx="0">
                  <c:v>38.346514563106794</c:v>
                </c:pt>
                <c:pt idx="1">
                  <c:v>41.133926940639263</c:v>
                </c:pt>
                <c:pt idx="2">
                  <c:v>41.133926940639263</c:v>
                </c:pt>
                <c:pt idx="3">
                  <c:v>38.599990291262131</c:v>
                </c:pt>
                <c:pt idx="4">
                  <c:v>42.000097087378641</c:v>
                </c:pt>
                <c:pt idx="5">
                  <c:v>42.136184466019415</c:v>
                </c:pt>
                <c:pt idx="6">
                  <c:v>38.470837837837841</c:v>
                </c:pt>
                <c:pt idx="7">
                  <c:v>41.900368932038837</c:v>
                </c:pt>
              </c:numCache>
            </c:numRef>
          </c:yVal>
          <c:smooth val="0"/>
          <c:extLst>
            <c:ext xmlns:c16="http://schemas.microsoft.com/office/drawing/2014/chart" uri="{C3380CC4-5D6E-409C-BE32-E72D297353CC}">
              <c16:uniqueId val="{00000000-4208-40EF-B58D-7AEF491F20A4}"/>
            </c:ext>
          </c:extLst>
        </c:ser>
        <c:ser>
          <c:idx val="0"/>
          <c:order val="1"/>
          <c:tx>
            <c:v>90/10 2004-2011</c:v>
          </c:tx>
          <c:spPr>
            <a:ln w="28575">
              <a:noFill/>
            </a:ln>
          </c:spPr>
          <c:trendline>
            <c:trendlineType val="linear"/>
            <c:dispRSqr val="0"/>
            <c:dispEq val="0"/>
          </c:trendline>
          <c:xVal>
            <c:numRef>
              <c:f>[2]Bratt!$O$20:$O$27</c:f>
              <c:numCache>
                <c:formatCode>General</c:formatCode>
                <c:ptCount val="8"/>
                <c:pt idx="0">
                  <c:v>2004</c:v>
                </c:pt>
                <c:pt idx="1">
                  <c:v>2005</c:v>
                </c:pt>
                <c:pt idx="2">
                  <c:v>2006</c:v>
                </c:pt>
                <c:pt idx="3">
                  <c:v>2007</c:v>
                </c:pt>
                <c:pt idx="4">
                  <c:v>2008</c:v>
                </c:pt>
                <c:pt idx="5">
                  <c:v>2009</c:v>
                </c:pt>
                <c:pt idx="6">
                  <c:v>2010</c:v>
                </c:pt>
                <c:pt idx="7">
                  <c:v>2011</c:v>
                </c:pt>
              </c:numCache>
            </c:numRef>
          </c:xVal>
          <c:yVal>
            <c:numRef>
              <c:f>[2]Bratt!$Q$20:$Q$28</c:f>
              <c:numCache>
                <c:formatCode>General</c:formatCode>
                <c:ptCount val="9"/>
                <c:pt idx="0">
                  <c:v>39.780029126213591</c:v>
                </c:pt>
                <c:pt idx="1">
                  <c:v>42.671643835616429</c:v>
                </c:pt>
                <c:pt idx="2">
                  <c:v>42.671643835616429</c:v>
                </c:pt>
                <c:pt idx="3">
                  <c:v>40.042980582524265</c:v>
                </c:pt>
                <c:pt idx="4">
                  <c:v>43.570194174757283</c:v>
                </c:pt>
                <c:pt idx="5">
                  <c:v>43.71136893203883</c:v>
                </c:pt>
                <c:pt idx="6">
                  <c:v>39.909000000000006</c:v>
                </c:pt>
                <c:pt idx="7">
                  <c:v>43.466737864077672</c:v>
                </c:pt>
                <c:pt idx="8">
                  <c:v>42.140056310679611</c:v>
                </c:pt>
              </c:numCache>
            </c:numRef>
          </c:yVal>
          <c:smooth val="0"/>
          <c:extLst>
            <c:ext xmlns:c16="http://schemas.microsoft.com/office/drawing/2014/chart" uri="{C3380CC4-5D6E-409C-BE32-E72D297353CC}">
              <c16:uniqueId val="{00000001-4208-40EF-B58D-7AEF491F20A4}"/>
            </c:ext>
          </c:extLst>
        </c:ser>
        <c:dLbls>
          <c:showLegendKey val="0"/>
          <c:showVal val="0"/>
          <c:showCatName val="0"/>
          <c:showSerName val="0"/>
          <c:showPercent val="0"/>
          <c:showBubbleSize val="0"/>
        </c:dLbls>
        <c:axId val="102432768"/>
        <c:axId val="102434304"/>
      </c:scatterChart>
      <c:valAx>
        <c:axId val="10243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02434304"/>
        <c:crosses val="autoZero"/>
        <c:crossBetween val="midCat"/>
      </c:valAx>
      <c:valAx>
        <c:axId val="102434304"/>
        <c:scaling>
          <c:orientation val="minMax"/>
          <c:min val="3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02432768"/>
        <c:crosses val="autoZero"/>
        <c:crossBetween val="midCat"/>
      </c:valAx>
      <c:spPr>
        <a:solidFill>
          <a:srgbClr val="C0C0C0"/>
        </a:solidFill>
        <a:ln w="12700">
          <a:solidFill>
            <a:srgbClr val="808080"/>
          </a:solidFill>
          <a:prstDash val="solid"/>
        </a:ln>
      </c:spPr>
    </c:plotArea>
    <c:legend>
      <c:legendPos val="r"/>
      <c:layout>
        <c:manualLayout>
          <c:xMode val="edge"/>
          <c:yMode val="edge"/>
          <c:x val="0.79701555216045761"/>
          <c:y val="0.40980453913849157"/>
          <c:w val="0.20298444783954303"/>
          <c:h val="0.18845206113941723"/>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03439473244934E-2"/>
          <c:y val="4.8473967684021554E-2"/>
          <c:w val="0.79292318108718451"/>
          <c:h val="0.87432675044883601"/>
        </c:manualLayout>
      </c:layout>
      <c:lineChart>
        <c:grouping val="standard"/>
        <c:varyColors val="0"/>
        <c:ser>
          <c:idx val="0"/>
          <c:order val="0"/>
          <c:tx>
            <c:v>50/50</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0"/>
            <c:dispEq val="0"/>
          </c:trendline>
          <c:cat>
            <c:numRef>
              <c:f>'[1]SLoop '!$Q$5:$Q$9</c:f>
              <c:numCache>
                <c:formatCode>General</c:formatCode>
                <c:ptCount val="5"/>
                <c:pt idx="0">
                  <c:v>2006</c:v>
                </c:pt>
                <c:pt idx="1">
                  <c:v>2007</c:v>
                </c:pt>
                <c:pt idx="2">
                  <c:v>2008</c:v>
                </c:pt>
                <c:pt idx="3">
                  <c:v>2009</c:v>
                </c:pt>
                <c:pt idx="4">
                  <c:v>2010</c:v>
                </c:pt>
              </c:numCache>
            </c:numRef>
          </c:cat>
          <c:val>
            <c:numRef>
              <c:f>'[1]SLoop '!$R$5:$R$9</c:f>
              <c:numCache>
                <c:formatCode>General</c:formatCode>
                <c:ptCount val="5"/>
                <c:pt idx="0">
                  <c:v>75.941063106796122</c:v>
                </c:pt>
                <c:pt idx="1">
                  <c:v>72.555466019417466</c:v>
                </c:pt>
                <c:pt idx="2">
                  <c:v>79.497106796116498</c:v>
                </c:pt>
                <c:pt idx="3">
                  <c:v>73.952519417475727</c:v>
                </c:pt>
                <c:pt idx="4">
                  <c:v>68.370393203883495</c:v>
                </c:pt>
              </c:numCache>
            </c:numRef>
          </c:val>
          <c:smooth val="0"/>
          <c:extLst>
            <c:ext xmlns:c16="http://schemas.microsoft.com/office/drawing/2014/chart" uri="{C3380CC4-5D6E-409C-BE32-E72D297353CC}">
              <c16:uniqueId val="{00000000-A7D1-4994-996D-7986298C5FEA}"/>
            </c:ext>
          </c:extLst>
        </c:ser>
        <c:ser>
          <c:idx val="1"/>
          <c:order val="1"/>
          <c:tx>
            <c:v>90/10</c:v>
          </c:tx>
          <c:spPr>
            <a:ln w="12700">
              <a:solidFill>
                <a:srgbClr val="FF00FF"/>
              </a:solidFill>
              <a:prstDash val="solid"/>
            </a:ln>
          </c:spPr>
          <c:marker>
            <c:symbol val="square"/>
            <c:size val="5"/>
            <c:spPr>
              <a:solidFill>
                <a:srgbClr val="FF00FF"/>
              </a:solidFill>
              <a:ln>
                <a:solidFill>
                  <a:srgbClr val="FF00FF"/>
                </a:solidFill>
                <a:prstDash val="solid"/>
              </a:ln>
            </c:spPr>
          </c:marker>
          <c:trendline>
            <c:spPr>
              <a:ln w="25400">
                <a:solidFill>
                  <a:srgbClr val="000000"/>
                </a:solidFill>
                <a:prstDash val="solid"/>
              </a:ln>
            </c:spPr>
            <c:trendlineType val="linear"/>
            <c:dispRSqr val="0"/>
            <c:dispEq val="0"/>
          </c:trendline>
          <c:trendline>
            <c:spPr>
              <a:ln w="25400">
                <a:solidFill>
                  <a:srgbClr val="000000"/>
                </a:solidFill>
                <a:prstDash val="solid"/>
              </a:ln>
            </c:spPr>
            <c:trendlineType val="exp"/>
            <c:dispRSqr val="0"/>
            <c:dispEq val="0"/>
          </c:trendline>
          <c:cat>
            <c:numRef>
              <c:f>'[1]SLoop '!$Q$5:$Q$9</c:f>
              <c:numCache>
                <c:formatCode>General</c:formatCode>
                <c:ptCount val="5"/>
                <c:pt idx="0">
                  <c:v>2006</c:v>
                </c:pt>
                <c:pt idx="1">
                  <c:v>2007</c:v>
                </c:pt>
                <c:pt idx="2">
                  <c:v>2008</c:v>
                </c:pt>
                <c:pt idx="3">
                  <c:v>2009</c:v>
                </c:pt>
                <c:pt idx="4">
                  <c:v>2010</c:v>
                </c:pt>
              </c:numCache>
            </c:numRef>
          </c:cat>
          <c:val>
            <c:numRef>
              <c:f>'[1]SLoop '!$S$5:$S$9</c:f>
              <c:numCache>
                <c:formatCode>General</c:formatCode>
                <c:ptCount val="5"/>
                <c:pt idx="0">
                  <c:v>77.004237990291273</c:v>
                </c:pt>
                <c:pt idx="1">
                  <c:v>73.571242543689308</c:v>
                </c:pt>
                <c:pt idx="2">
                  <c:v>80.610066291262129</c:v>
                </c:pt>
                <c:pt idx="3">
                  <c:v>74.987854689320386</c:v>
                </c:pt>
                <c:pt idx="4">
                  <c:v>69.32757870873786</c:v>
                </c:pt>
              </c:numCache>
            </c:numRef>
          </c:val>
          <c:smooth val="0"/>
          <c:extLst>
            <c:ext xmlns:c16="http://schemas.microsoft.com/office/drawing/2014/chart" uri="{C3380CC4-5D6E-409C-BE32-E72D297353CC}">
              <c16:uniqueId val="{00000001-A7D1-4994-996D-7986298C5FEA}"/>
            </c:ext>
          </c:extLst>
        </c:ser>
        <c:dLbls>
          <c:showLegendKey val="0"/>
          <c:showVal val="0"/>
          <c:showCatName val="0"/>
          <c:showSerName val="0"/>
          <c:showPercent val="0"/>
          <c:showBubbleSize val="0"/>
        </c:dLbls>
        <c:marker val="1"/>
        <c:smooth val="0"/>
        <c:axId val="102491648"/>
        <c:axId val="102493184"/>
      </c:lineChart>
      <c:catAx>
        <c:axId val="10249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2493184"/>
        <c:crosses val="autoZero"/>
        <c:auto val="1"/>
        <c:lblAlgn val="ctr"/>
        <c:lblOffset val="100"/>
        <c:tickLblSkip val="1"/>
        <c:tickMarkSkip val="1"/>
        <c:noMultiLvlLbl val="0"/>
      </c:catAx>
      <c:valAx>
        <c:axId val="1024931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2491648"/>
        <c:crosses val="autoZero"/>
        <c:crossBetween val="between"/>
      </c:valAx>
      <c:spPr>
        <a:solidFill>
          <a:srgbClr val="C0C0C0"/>
        </a:solidFill>
        <a:ln w="12700">
          <a:solidFill>
            <a:srgbClr val="808080"/>
          </a:solidFill>
          <a:prstDash val="solid"/>
        </a:ln>
      </c:spPr>
    </c:plotArea>
    <c:legend>
      <c:legendPos val="r"/>
      <c:layout>
        <c:manualLayout>
          <c:xMode val="edge"/>
          <c:yMode val="edge"/>
          <c:x val="0.83879423328965075"/>
          <c:y val="0.49551166965888915"/>
          <c:w val="0.15596330275229553"/>
          <c:h val="0.18132854578096949"/>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xdr:col>
      <xdr:colOff>3067050</xdr:colOff>
      <xdr:row>70</xdr:row>
      <xdr:rowOff>0</xdr:rowOff>
    </xdr:to>
    <xdr:pic>
      <xdr:nvPicPr>
        <xdr:cNvPr id="2" name="Picture 1">
          <a:extLst>
            <a:ext uri="{FF2B5EF4-FFF2-40B4-BE49-F238E27FC236}">
              <a16:creationId xmlns:a16="http://schemas.microsoft.com/office/drawing/2014/main" id="{28496AE6-5637-435D-B1A6-8E3A8A0E6BC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32" t="5477" r="1926" b="9677"/>
        <a:stretch/>
      </xdr:blipFill>
      <xdr:spPr bwMode="auto">
        <a:xfrm>
          <a:off x="0" y="17030700"/>
          <a:ext cx="7429500" cy="5067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32</xdr:row>
      <xdr:rowOff>0</xdr:rowOff>
    </xdr:from>
    <xdr:to>
      <xdr:col>15</xdr:col>
      <xdr:colOff>190500</xdr:colOff>
      <xdr:row>56</xdr:row>
      <xdr:rowOff>9525</xdr:rowOff>
    </xdr:to>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37</xdr:row>
      <xdr:rowOff>0</xdr:rowOff>
    </xdr:from>
    <xdr:to>
      <xdr:col>15</xdr:col>
      <xdr:colOff>180975</xdr:colOff>
      <xdr:row>62</xdr:row>
      <xdr:rowOff>171450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33</xdr:row>
      <xdr:rowOff>0</xdr:rowOff>
    </xdr:from>
    <xdr:to>
      <xdr:col>11</xdr:col>
      <xdr:colOff>725921</xdr:colOff>
      <xdr:row>56</xdr:row>
      <xdr:rowOff>73025</xdr:rowOff>
    </xdr:to>
    <xdr:graphicFrame macro="">
      <xdr:nvGraphicFramePr>
        <xdr:cNvPr id="2" name="Chart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373856</xdr:colOff>
      <xdr:row>33</xdr:row>
      <xdr:rowOff>0</xdr:rowOff>
    </xdr:from>
    <xdr:to>
      <xdr:col>15</xdr:col>
      <xdr:colOff>523874</xdr:colOff>
      <xdr:row>59</xdr:row>
      <xdr:rowOff>40481</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175758</xdr:colOff>
      <xdr:row>40</xdr:row>
      <xdr:rowOff>130186</xdr:rowOff>
    </xdr:to>
    <xdr:pic>
      <xdr:nvPicPr>
        <xdr:cNvPr id="3" name="Picture 2">
          <a:extLst>
            <a:ext uri="{FF2B5EF4-FFF2-40B4-BE49-F238E27FC236}">
              <a16:creationId xmlns:a16="http://schemas.microsoft.com/office/drawing/2014/main" id="{00000000-0008-0000-4400-000003000000}"/>
            </a:ext>
          </a:extLst>
        </xdr:cNvPr>
        <xdr:cNvPicPr>
          <a:picLocks noChangeAspect="1"/>
        </xdr:cNvPicPr>
      </xdr:nvPicPr>
      <xdr:blipFill>
        <a:blip xmlns:r="http://schemas.openxmlformats.org/officeDocument/2006/relationships" r:embed="rId1"/>
        <a:stretch>
          <a:fillRect/>
        </a:stretch>
      </xdr:blipFill>
      <xdr:spPr>
        <a:xfrm>
          <a:off x="0" y="0"/>
          <a:ext cx="5745978" cy="7445386"/>
        </a:xfrm>
        <a:prstGeom prst="rect">
          <a:avLst/>
        </a:prstGeom>
      </xdr:spPr>
    </xdr:pic>
    <xdr:clientData/>
  </xdr:twoCellAnchor>
  <xdr:twoCellAnchor editAs="oneCell">
    <xdr:from>
      <xdr:col>10</xdr:col>
      <xdr:colOff>0</xdr:colOff>
      <xdr:row>0</xdr:row>
      <xdr:rowOff>0</xdr:rowOff>
    </xdr:from>
    <xdr:to>
      <xdr:col>20</xdr:col>
      <xdr:colOff>137659</xdr:colOff>
      <xdr:row>40</xdr:row>
      <xdr:rowOff>160668</xdr:rowOff>
    </xdr:to>
    <xdr:pic>
      <xdr:nvPicPr>
        <xdr:cNvPr id="4" name="Picture 3">
          <a:extLst>
            <a:ext uri="{FF2B5EF4-FFF2-40B4-BE49-F238E27FC236}">
              <a16:creationId xmlns:a16="http://schemas.microsoft.com/office/drawing/2014/main" id="{00000000-0008-0000-4400-000004000000}"/>
            </a:ext>
          </a:extLst>
        </xdr:cNvPr>
        <xdr:cNvPicPr>
          <a:picLocks noChangeAspect="1"/>
        </xdr:cNvPicPr>
      </xdr:nvPicPr>
      <xdr:blipFill>
        <a:blip xmlns:r="http://schemas.openxmlformats.org/officeDocument/2006/relationships" r:embed="rId2"/>
        <a:stretch>
          <a:fillRect/>
        </a:stretch>
      </xdr:blipFill>
      <xdr:spPr>
        <a:xfrm>
          <a:off x="6096000" y="0"/>
          <a:ext cx="5753599" cy="7475868"/>
        </a:xfrm>
        <a:prstGeom prst="rect">
          <a:avLst/>
        </a:prstGeom>
      </xdr:spPr>
    </xdr:pic>
    <xdr:clientData/>
  </xdr:twoCellAnchor>
  <xdr:twoCellAnchor editAs="oneCell">
    <xdr:from>
      <xdr:col>20</xdr:col>
      <xdr:colOff>0</xdr:colOff>
      <xdr:row>0</xdr:row>
      <xdr:rowOff>0</xdr:rowOff>
    </xdr:from>
    <xdr:to>
      <xdr:col>29</xdr:col>
      <xdr:colOff>297682</xdr:colOff>
      <xdr:row>40</xdr:row>
      <xdr:rowOff>137806</xdr:rowOff>
    </xdr:to>
    <xdr:pic>
      <xdr:nvPicPr>
        <xdr:cNvPr id="5" name="Picture 4">
          <a:extLst>
            <a:ext uri="{FF2B5EF4-FFF2-40B4-BE49-F238E27FC236}">
              <a16:creationId xmlns:a16="http://schemas.microsoft.com/office/drawing/2014/main" id="{00000000-0008-0000-4400-000005000000}"/>
            </a:ext>
          </a:extLst>
        </xdr:cNvPr>
        <xdr:cNvPicPr>
          <a:picLocks noChangeAspect="1"/>
        </xdr:cNvPicPr>
      </xdr:nvPicPr>
      <xdr:blipFill>
        <a:blip xmlns:r="http://schemas.openxmlformats.org/officeDocument/2006/relationships" r:embed="rId3"/>
        <a:stretch>
          <a:fillRect/>
        </a:stretch>
      </xdr:blipFill>
      <xdr:spPr>
        <a:xfrm>
          <a:off x="12192000" y="0"/>
          <a:ext cx="5784082" cy="74530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442739</xdr:colOff>
      <xdr:row>30</xdr:row>
      <xdr:rowOff>152889</xdr:rowOff>
    </xdr:to>
    <xdr:pic>
      <xdr:nvPicPr>
        <xdr:cNvPr id="3" name="Picture 2">
          <a:extLst>
            <a:ext uri="{FF2B5EF4-FFF2-40B4-BE49-F238E27FC236}">
              <a16:creationId xmlns:a16="http://schemas.microsoft.com/office/drawing/2014/main" id="{00000000-0008-0000-4500-000003000000}"/>
            </a:ext>
          </a:extLst>
        </xdr:cNvPr>
        <xdr:cNvPicPr>
          <a:picLocks noChangeAspect="1"/>
        </xdr:cNvPicPr>
      </xdr:nvPicPr>
      <xdr:blipFill>
        <a:blip xmlns:r="http://schemas.openxmlformats.org/officeDocument/2006/relationships" r:embed="rId1"/>
        <a:stretch>
          <a:fillRect/>
        </a:stretch>
      </xdr:blipFill>
      <xdr:spPr>
        <a:xfrm>
          <a:off x="609600" y="182880"/>
          <a:ext cx="8977139" cy="5639289"/>
        </a:xfrm>
        <a:prstGeom prst="rect">
          <a:avLst/>
        </a:prstGeom>
      </xdr:spPr>
    </xdr:pic>
    <xdr:clientData/>
  </xdr:twoCellAnchor>
  <xdr:twoCellAnchor editAs="oneCell">
    <xdr:from>
      <xdr:col>0</xdr:col>
      <xdr:colOff>0</xdr:colOff>
      <xdr:row>31</xdr:row>
      <xdr:rowOff>0</xdr:rowOff>
    </xdr:from>
    <xdr:to>
      <xdr:col>14</xdr:col>
      <xdr:colOff>297946</xdr:colOff>
      <xdr:row>66</xdr:row>
      <xdr:rowOff>61520</xdr:rowOff>
    </xdr:to>
    <xdr:pic>
      <xdr:nvPicPr>
        <xdr:cNvPr id="4" name="Picture 3">
          <a:extLst>
            <a:ext uri="{FF2B5EF4-FFF2-40B4-BE49-F238E27FC236}">
              <a16:creationId xmlns:a16="http://schemas.microsoft.com/office/drawing/2014/main" id="{00000000-0008-0000-4500-000004000000}"/>
            </a:ext>
          </a:extLst>
        </xdr:cNvPr>
        <xdr:cNvPicPr>
          <a:picLocks noChangeAspect="1"/>
        </xdr:cNvPicPr>
      </xdr:nvPicPr>
      <xdr:blipFill>
        <a:blip xmlns:r="http://schemas.openxmlformats.org/officeDocument/2006/relationships" r:embed="rId2"/>
        <a:stretch>
          <a:fillRect/>
        </a:stretch>
      </xdr:blipFill>
      <xdr:spPr>
        <a:xfrm>
          <a:off x="609600" y="5852160"/>
          <a:ext cx="8832346" cy="6462320"/>
        </a:xfrm>
        <a:prstGeom prst="rect">
          <a:avLst/>
        </a:prstGeom>
      </xdr:spPr>
    </xdr:pic>
    <xdr:clientData/>
  </xdr:twoCellAnchor>
  <xdr:twoCellAnchor editAs="oneCell">
    <xdr:from>
      <xdr:col>15</xdr:col>
      <xdr:colOff>0</xdr:colOff>
      <xdr:row>0</xdr:row>
      <xdr:rowOff>0</xdr:rowOff>
    </xdr:from>
    <xdr:to>
      <xdr:col>30</xdr:col>
      <xdr:colOff>31222</xdr:colOff>
      <xdr:row>49</xdr:row>
      <xdr:rowOff>99846</xdr:rowOff>
    </xdr:to>
    <xdr:pic>
      <xdr:nvPicPr>
        <xdr:cNvPr id="5" name="Picture 4">
          <a:extLst>
            <a:ext uri="{FF2B5EF4-FFF2-40B4-BE49-F238E27FC236}">
              <a16:creationId xmlns:a16="http://schemas.microsoft.com/office/drawing/2014/main" id="{00000000-0008-0000-4500-000005000000}"/>
            </a:ext>
          </a:extLst>
        </xdr:cNvPr>
        <xdr:cNvPicPr>
          <a:picLocks noChangeAspect="1"/>
        </xdr:cNvPicPr>
      </xdr:nvPicPr>
      <xdr:blipFill>
        <a:blip xmlns:r="http://schemas.openxmlformats.org/officeDocument/2006/relationships" r:embed="rId3"/>
        <a:stretch>
          <a:fillRect/>
        </a:stretch>
      </xdr:blipFill>
      <xdr:spPr>
        <a:xfrm>
          <a:off x="10363200" y="182880"/>
          <a:ext cx="8558002" cy="9060966"/>
        </a:xfrm>
        <a:prstGeom prst="rect">
          <a:avLst/>
        </a:prstGeom>
      </xdr:spPr>
    </xdr:pic>
    <xdr:clientData/>
  </xdr:twoCellAnchor>
  <xdr:twoCellAnchor editAs="oneCell">
    <xdr:from>
      <xdr:col>14</xdr:col>
      <xdr:colOff>434340</xdr:colOff>
      <xdr:row>50</xdr:row>
      <xdr:rowOff>45720</xdr:rowOff>
    </xdr:from>
    <xdr:to>
      <xdr:col>28</xdr:col>
      <xdr:colOff>488412</xdr:colOff>
      <xdr:row>65</xdr:row>
      <xdr:rowOff>84061</xdr:rowOff>
    </xdr:to>
    <xdr:pic>
      <xdr:nvPicPr>
        <xdr:cNvPr id="7" name="Picture 6">
          <a:extLst>
            <a:ext uri="{FF2B5EF4-FFF2-40B4-BE49-F238E27FC236}">
              <a16:creationId xmlns:a16="http://schemas.microsoft.com/office/drawing/2014/main" id="{00000000-0008-0000-4500-000007000000}"/>
            </a:ext>
          </a:extLst>
        </xdr:cNvPr>
        <xdr:cNvPicPr>
          <a:picLocks noChangeAspect="1"/>
        </xdr:cNvPicPr>
      </xdr:nvPicPr>
      <xdr:blipFill>
        <a:blip xmlns:r="http://schemas.openxmlformats.org/officeDocument/2006/relationships" r:embed="rId4"/>
        <a:stretch>
          <a:fillRect/>
        </a:stretch>
      </xdr:blipFill>
      <xdr:spPr>
        <a:xfrm>
          <a:off x="8968740" y="9372600"/>
          <a:ext cx="8436072" cy="2781541"/>
        </a:xfrm>
        <a:prstGeom prst="rect">
          <a:avLst/>
        </a:prstGeom>
      </xdr:spPr>
    </xdr:pic>
    <xdr:clientData/>
  </xdr:twoCellAnchor>
  <xdr:twoCellAnchor editAs="oneCell">
    <xdr:from>
      <xdr:col>30</xdr:col>
      <xdr:colOff>0</xdr:colOff>
      <xdr:row>0</xdr:row>
      <xdr:rowOff>0</xdr:rowOff>
    </xdr:from>
    <xdr:to>
      <xdr:col>43</xdr:col>
      <xdr:colOff>564616</xdr:colOff>
      <xdr:row>36</xdr:row>
      <xdr:rowOff>175846</xdr:rowOff>
    </xdr:to>
    <xdr:pic>
      <xdr:nvPicPr>
        <xdr:cNvPr id="9" name="Picture 8">
          <a:extLst>
            <a:ext uri="{FF2B5EF4-FFF2-40B4-BE49-F238E27FC236}">
              <a16:creationId xmlns:a16="http://schemas.microsoft.com/office/drawing/2014/main" id="{00000000-0008-0000-4500-000009000000}"/>
            </a:ext>
          </a:extLst>
        </xdr:cNvPr>
        <xdr:cNvPicPr>
          <a:picLocks noChangeAspect="1"/>
        </xdr:cNvPicPr>
      </xdr:nvPicPr>
      <xdr:blipFill>
        <a:blip xmlns:r="http://schemas.openxmlformats.org/officeDocument/2006/relationships" r:embed="rId5"/>
        <a:stretch>
          <a:fillRect/>
        </a:stretch>
      </xdr:blipFill>
      <xdr:spPr>
        <a:xfrm>
          <a:off x="18135600" y="182880"/>
          <a:ext cx="8489416" cy="6759526"/>
        </a:xfrm>
        <a:prstGeom prst="rect">
          <a:avLst/>
        </a:prstGeom>
      </xdr:spPr>
    </xdr:pic>
    <xdr:clientData/>
  </xdr:twoCellAnchor>
  <xdr:twoCellAnchor editAs="oneCell">
    <xdr:from>
      <xdr:col>30</xdr:col>
      <xdr:colOff>0</xdr:colOff>
      <xdr:row>37</xdr:row>
      <xdr:rowOff>0</xdr:rowOff>
    </xdr:from>
    <xdr:to>
      <xdr:col>44</xdr:col>
      <xdr:colOff>320808</xdr:colOff>
      <xdr:row>63</xdr:row>
      <xdr:rowOff>114722</xdr:rowOff>
    </xdr:to>
    <xdr:pic>
      <xdr:nvPicPr>
        <xdr:cNvPr id="10" name="Picture 9">
          <a:extLst>
            <a:ext uri="{FF2B5EF4-FFF2-40B4-BE49-F238E27FC236}">
              <a16:creationId xmlns:a16="http://schemas.microsoft.com/office/drawing/2014/main" id="{00000000-0008-0000-4500-00000A000000}"/>
            </a:ext>
          </a:extLst>
        </xdr:cNvPr>
        <xdr:cNvPicPr>
          <a:picLocks noChangeAspect="1"/>
        </xdr:cNvPicPr>
      </xdr:nvPicPr>
      <xdr:blipFill>
        <a:blip xmlns:r="http://schemas.openxmlformats.org/officeDocument/2006/relationships" r:embed="rId6"/>
        <a:stretch>
          <a:fillRect/>
        </a:stretch>
      </xdr:blipFill>
      <xdr:spPr>
        <a:xfrm>
          <a:off x="18135600" y="6949440"/>
          <a:ext cx="8855208" cy="48696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jones\Local%20Settings\Temporary%20Internet%20Files\OLK287\Copy%20of%20WeatherNormalize-kj.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jones\Local%20Settings\Temporary%20Internet%20Files\Content.Outlook\0XQWSPZP\Copy%20of%20WeatherNormalizeC(11-1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
      <sheetName val="Bratt"/>
      <sheetName val="St.Albans"/>
      <sheetName val="SLoop "/>
    </sheetNames>
    <sheetDataSet>
      <sheetData sheetId="0"/>
      <sheetData sheetId="1">
        <row r="6">
          <cell r="O6">
            <v>2006</v>
          </cell>
        </row>
      </sheetData>
      <sheetData sheetId="2">
        <row r="6">
          <cell r="V6">
            <v>2006</v>
          </cell>
          <cell r="W6">
            <v>25.499738738738738</v>
          </cell>
          <cell r="X6">
            <v>26.452999999999999</v>
          </cell>
        </row>
        <row r="7">
          <cell r="V7">
            <v>2007</v>
          </cell>
          <cell r="W7">
            <v>25.122604651162789</v>
          </cell>
          <cell r="X7">
            <v>26.061767441860464</v>
          </cell>
        </row>
        <row r="8">
          <cell r="V8">
            <v>2008</v>
          </cell>
          <cell r="W8">
            <v>25.088999999999999</v>
          </cell>
          <cell r="X8">
            <v>26.026906542056075</v>
          </cell>
        </row>
        <row r="9">
          <cell r="V9">
            <v>2009</v>
          </cell>
          <cell r="W9">
            <v>23.552761467889908</v>
          </cell>
          <cell r="X9">
            <v>24.433238532110092</v>
          </cell>
        </row>
        <row r="10">
          <cell r="V10">
            <v>2010</v>
          </cell>
          <cell r="W10">
            <v>25.457324324324325</v>
          </cell>
          <cell r="X10">
            <v>26.409000000000002</v>
          </cell>
        </row>
        <row r="11">
          <cell r="V11">
            <v>2011</v>
          </cell>
          <cell r="W11">
            <v>25.448676190476188</v>
          </cell>
          <cell r="X11">
            <v>26.400028571428571</v>
          </cell>
        </row>
      </sheetData>
      <sheetData sheetId="3">
        <row r="5">
          <cell r="Q5">
            <v>2006</v>
          </cell>
          <cell r="R5">
            <v>75.941063106796122</v>
          </cell>
          <cell r="S5">
            <v>77.004237990291273</v>
          </cell>
        </row>
        <row r="6">
          <cell r="Q6">
            <v>2007</v>
          </cell>
          <cell r="R6">
            <v>72.555466019417466</v>
          </cell>
          <cell r="S6">
            <v>73.571242543689308</v>
          </cell>
        </row>
        <row r="7">
          <cell r="Q7">
            <v>2008</v>
          </cell>
          <cell r="R7">
            <v>79.497106796116498</v>
          </cell>
          <cell r="S7">
            <v>80.610066291262129</v>
          </cell>
        </row>
        <row r="8">
          <cell r="Q8">
            <v>2009</v>
          </cell>
          <cell r="R8">
            <v>73.952519417475727</v>
          </cell>
          <cell r="S8">
            <v>74.987854689320386</v>
          </cell>
        </row>
        <row r="9">
          <cell r="Q9">
            <v>2010</v>
          </cell>
          <cell r="R9">
            <v>68.370393203883495</v>
          </cell>
          <cell r="S9">
            <v>69.32757870873786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
      <sheetName val="Bratt"/>
      <sheetName val="St.Albans"/>
      <sheetName val="SLoop "/>
    </sheetNames>
    <sheetDataSet>
      <sheetData sheetId="0"/>
      <sheetData sheetId="1">
        <row r="20">
          <cell r="O20">
            <v>2004</v>
          </cell>
          <cell r="P20">
            <v>38.346514563106794</v>
          </cell>
          <cell r="Q20">
            <v>39.780029126213591</v>
          </cell>
        </row>
        <row r="21">
          <cell r="O21">
            <v>2005</v>
          </cell>
          <cell r="P21">
            <v>41.133926940639263</v>
          </cell>
          <cell r="Q21">
            <v>42.671643835616429</v>
          </cell>
        </row>
        <row r="22">
          <cell r="O22">
            <v>2006</v>
          </cell>
          <cell r="P22">
            <v>41.133926940639263</v>
          </cell>
          <cell r="Q22">
            <v>42.671643835616429</v>
          </cell>
        </row>
        <row r="23">
          <cell r="O23">
            <v>2007</v>
          </cell>
          <cell r="P23">
            <v>38.599990291262131</v>
          </cell>
          <cell r="Q23">
            <v>40.042980582524265</v>
          </cell>
        </row>
        <row r="24">
          <cell r="O24">
            <v>2008</v>
          </cell>
          <cell r="P24">
            <v>42.000097087378641</v>
          </cell>
          <cell r="Q24">
            <v>43.570194174757283</v>
          </cell>
        </row>
        <row r="25">
          <cell r="O25">
            <v>2009</v>
          </cell>
          <cell r="P25">
            <v>42.136184466019415</v>
          </cell>
          <cell r="Q25">
            <v>43.71136893203883</v>
          </cell>
        </row>
        <row r="26">
          <cell r="O26">
            <v>2010</v>
          </cell>
          <cell r="P26">
            <v>38.470837837837841</v>
          </cell>
          <cell r="Q26">
            <v>39.909000000000006</v>
          </cell>
        </row>
        <row r="27">
          <cell r="O27">
            <v>2011</v>
          </cell>
          <cell r="P27">
            <v>41.900368932038837</v>
          </cell>
          <cell r="Q27">
            <v>43.466737864077672</v>
          </cell>
        </row>
        <row r="28">
          <cell r="Q28">
            <v>42.140056310679611</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1.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H25"/>
  <sheetViews>
    <sheetView tabSelected="1" zoomScale="85" zoomScaleNormal="85" workbookViewId="0">
      <selection activeCell="H29" sqref="H29"/>
    </sheetView>
  </sheetViews>
  <sheetFormatPr defaultRowHeight="15" x14ac:dyDescent="0.25"/>
  <cols>
    <col min="1" max="1" width="21.85546875" style="74" bestFit="1" customWidth="1"/>
    <col min="2" max="2" width="38.85546875" customWidth="1"/>
    <col min="3" max="3" width="44.28515625" customWidth="1"/>
    <col min="4" max="4" width="14" customWidth="1"/>
    <col min="5" max="5" width="22" style="75" customWidth="1"/>
    <col min="6" max="6" width="28.28515625" customWidth="1"/>
    <col min="7" max="7" width="27.140625" customWidth="1"/>
    <col min="8" max="8" width="73.5703125" customWidth="1"/>
  </cols>
  <sheetData>
    <row r="1" spans="1:8" x14ac:dyDescent="0.25">
      <c r="A1" s="20"/>
      <c r="B1" s="258"/>
    </row>
    <row r="2" spans="1:8" ht="21" x14ac:dyDescent="0.35">
      <c r="B2" s="363" t="s">
        <v>898</v>
      </c>
      <c r="C2" s="363"/>
      <c r="D2" s="363"/>
      <c r="E2" s="363"/>
      <c r="F2" s="363"/>
      <c r="G2" s="363"/>
      <c r="H2" s="363"/>
    </row>
    <row r="3" spans="1:8" ht="15.75" thickBot="1" x14ac:dyDescent="0.3">
      <c r="D3" s="360"/>
      <c r="E3" s="361"/>
      <c r="F3" s="362"/>
    </row>
    <row r="4" spans="1:8" ht="30" customHeight="1" thickTop="1" thickBot="1" x14ac:dyDescent="0.3">
      <c r="A4" s="229" t="s">
        <v>550</v>
      </c>
      <c r="B4" s="221" t="s">
        <v>39</v>
      </c>
      <c r="C4" s="76" t="s">
        <v>299</v>
      </c>
      <c r="D4" s="77" t="s">
        <v>300</v>
      </c>
      <c r="E4" s="231" t="s">
        <v>549</v>
      </c>
      <c r="F4" s="171" t="s">
        <v>532</v>
      </c>
      <c r="G4" s="76" t="s">
        <v>40</v>
      </c>
      <c r="H4" s="78" t="s">
        <v>284</v>
      </c>
    </row>
    <row r="5" spans="1:8" ht="15.75" thickTop="1" x14ac:dyDescent="0.25">
      <c r="A5" s="230"/>
      <c r="B5" s="203"/>
      <c r="C5" s="203"/>
      <c r="D5" s="203"/>
      <c r="E5" s="203"/>
      <c r="F5" s="203"/>
      <c r="G5" s="203"/>
      <c r="H5" s="203"/>
    </row>
    <row r="6" spans="1:8" ht="30" x14ac:dyDescent="0.25">
      <c r="A6" s="232" t="s">
        <v>755</v>
      </c>
      <c r="B6" s="233" t="s">
        <v>892</v>
      </c>
      <c r="C6" s="232" t="s">
        <v>893</v>
      </c>
      <c r="D6" s="233"/>
      <c r="E6" s="232" t="s">
        <v>884</v>
      </c>
      <c r="F6" s="271">
        <v>7000000</v>
      </c>
      <c r="G6" s="232" t="s">
        <v>893</v>
      </c>
      <c r="H6" s="270" t="s">
        <v>894</v>
      </c>
    </row>
    <row r="7" spans="1:8" x14ac:dyDescent="0.25">
      <c r="A7" s="232" t="s">
        <v>755</v>
      </c>
      <c r="B7" s="233" t="s">
        <v>899</v>
      </c>
      <c r="C7" s="232" t="s">
        <v>893</v>
      </c>
      <c r="D7" s="233"/>
      <c r="E7" s="232" t="s">
        <v>902</v>
      </c>
      <c r="F7" s="271">
        <v>5500000</v>
      </c>
      <c r="G7" s="232" t="s">
        <v>893</v>
      </c>
      <c r="H7" s="270"/>
    </row>
    <row r="8" spans="1:8" x14ac:dyDescent="0.25">
      <c r="A8" s="282"/>
      <c r="B8" s="233"/>
      <c r="C8" s="232"/>
      <c r="D8" s="233"/>
      <c r="E8" s="232"/>
      <c r="F8" s="271"/>
      <c r="G8" s="232"/>
      <c r="H8" s="270"/>
    </row>
    <row r="9" spans="1:8" x14ac:dyDescent="0.25">
      <c r="A9" s="203"/>
      <c r="B9" s="203"/>
      <c r="C9" s="203"/>
      <c r="D9" s="203"/>
      <c r="E9" s="203"/>
      <c r="F9" s="280"/>
      <c r="G9" s="203"/>
      <c r="H9" s="281"/>
    </row>
    <row r="10" spans="1:8" x14ac:dyDescent="0.25">
      <c r="A10" s="203"/>
      <c r="B10" s="203"/>
      <c r="C10" s="203"/>
      <c r="D10" s="203"/>
      <c r="E10" s="203"/>
      <c r="F10" s="280"/>
      <c r="G10" s="203"/>
      <c r="H10" s="281"/>
    </row>
    <row r="12" spans="1:8" x14ac:dyDescent="0.25">
      <c r="B12" s="73" t="s">
        <v>285</v>
      </c>
    </row>
    <row r="13" spans="1:8" x14ac:dyDescent="0.25">
      <c r="B13" t="s">
        <v>669</v>
      </c>
    </row>
    <row r="14" spans="1:8" x14ac:dyDescent="0.25">
      <c r="B14" s="73" t="s">
        <v>286</v>
      </c>
    </row>
    <row r="15" spans="1:8" x14ac:dyDescent="0.25">
      <c r="B15" t="s">
        <v>287</v>
      </c>
    </row>
    <row r="18" spans="1:4" x14ac:dyDescent="0.25">
      <c r="A18" s="159"/>
    </row>
    <row r="19" spans="1:4" x14ac:dyDescent="0.25">
      <c r="A19" s="20"/>
    </row>
    <row r="20" spans="1:4" x14ac:dyDescent="0.25">
      <c r="A20" s="20"/>
    </row>
    <row r="21" spans="1:4" x14ac:dyDescent="0.25">
      <c r="A21" s="20"/>
    </row>
    <row r="22" spans="1:4" x14ac:dyDescent="0.25">
      <c r="A22" s="20"/>
    </row>
    <row r="23" spans="1:4" x14ac:dyDescent="0.25">
      <c r="A23" s="20"/>
    </row>
    <row r="24" spans="1:4" x14ac:dyDescent="0.25">
      <c r="A24" s="20"/>
      <c r="B24" s="20"/>
      <c r="C24" s="20"/>
      <c r="D24" s="20"/>
    </row>
    <row r="25" spans="1:4" x14ac:dyDescent="0.25">
      <c r="A25" s="20"/>
    </row>
  </sheetData>
  <mergeCells count="2">
    <mergeCell ref="D3:F3"/>
    <mergeCell ref="B2:H2"/>
  </mergeCells>
  <phoneticPr fontId="56" type="noConversion"/>
  <pageMargins left="0.7" right="0.7" top="0.75" bottom="0.75" header="0.3" footer="0.3"/>
  <pageSetup paperSize="1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612E2-6BEC-47E2-AAA4-3260EAD8A442}">
  <sheetPr>
    <tabColor rgb="FF00B050"/>
    <pageSetUpPr fitToPage="1"/>
  </sheetPr>
  <dimension ref="A1:AA58"/>
  <sheetViews>
    <sheetView topLeftCell="A8"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824</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169.15" customHeight="1" x14ac:dyDescent="0.25">
      <c r="A8" s="3" t="s">
        <v>238</v>
      </c>
      <c r="B8" s="223" t="s">
        <v>834</v>
      </c>
      <c r="C8" s="284"/>
      <c r="E8" s="352" t="s">
        <v>100</v>
      </c>
      <c r="F8" s="352"/>
      <c r="G8" s="352"/>
      <c r="H8" s="352"/>
      <c r="I8" s="352"/>
    </row>
    <row r="9" spans="1:27" ht="401.45" customHeight="1" x14ac:dyDescent="0.25">
      <c r="A9" s="3" t="s">
        <v>804</v>
      </c>
      <c r="B9" s="223" t="s">
        <v>833</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3000000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191</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1035-A98D-44DB-8FC3-73F24193A951}">
  <sheetPr>
    <tabColor rgb="FF00B050"/>
    <pageSetUpPr fitToPage="1"/>
  </sheetPr>
  <dimension ref="A1:AA58"/>
  <sheetViews>
    <sheetView zoomScale="80" zoomScaleNormal="80" workbookViewId="0">
      <selection activeCell="F29" sqref="F29"/>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806</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97.9" customHeight="1" x14ac:dyDescent="0.25">
      <c r="A8" s="3" t="s">
        <v>238</v>
      </c>
      <c r="B8" s="223" t="s">
        <v>808</v>
      </c>
      <c r="E8" s="352" t="s">
        <v>100</v>
      </c>
      <c r="F8" s="352"/>
      <c r="G8" s="352"/>
      <c r="H8" s="352"/>
      <c r="I8" s="352"/>
    </row>
    <row r="9" spans="1:27" ht="322.14999999999998" customHeight="1" x14ac:dyDescent="0.25">
      <c r="A9" s="3" t="s">
        <v>804</v>
      </c>
      <c r="B9" s="223" t="s">
        <v>845</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732660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191</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5CB22-A9AD-4534-8951-5B84BC7389CF}">
  <sheetPr>
    <tabColor rgb="FF00B050"/>
    <pageSetUpPr fitToPage="1"/>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807</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97.9" customHeight="1" x14ac:dyDescent="0.25">
      <c r="A8" s="3" t="s">
        <v>238</v>
      </c>
      <c r="B8" s="223" t="s">
        <v>809</v>
      </c>
      <c r="E8" s="352" t="s">
        <v>100</v>
      </c>
      <c r="F8" s="352"/>
      <c r="G8" s="352"/>
      <c r="H8" s="352"/>
      <c r="I8" s="352"/>
    </row>
    <row r="9" spans="1:27" ht="357" customHeight="1" x14ac:dyDescent="0.25">
      <c r="A9" s="3" t="s">
        <v>804</v>
      </c>
      <c r="B9" s="223" t="s">
        <v>846</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51">
        <v>2500000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191</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607E-94D2-4B2D-9F61-7799C0282BAC}">
  <sheetPr>
    <tabColor rgb="FF00B050"/>
    <pageSetUpPr fitToPage="1"/>
  </sheetPr>
  <dimension ref="A1:AA58"/>
  <sheetViews>
    <sheetView zoomScale="80" zoomScaleNormal="80" workbookViewId="0">
      <selection activeCell="J9" sqref="J9"/>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811</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217.15" customHeight="1" x14ac:dyDescent="0.25">
      <c r="A8" s="3" t="s">
        <v>238</v>
      </c>
      <c r="B8" s="223" t="s">
        <v>813</v>
      </c>
      <c r="E8" s="352" t="s">
        <v>100</v>
      </c>
      <c r="F8" s="352"/>
      <c r="G8" s="352"/>
      <c r="H8" s="352"/>
      <c r="I8" s="352"/>
    </row>
    <row r="9" spans="1:27" ht="399.6" customHeight="1" x14ac:dyDescent="0.25">
      <c r="A9" s="3" t="s">
        <v>803</v>
      </c>
      <c r="B9" s="223" t="s">
        <v>814</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6000000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92" t="s">
        <v>658</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56CE-FF79-440C-A2D8-D2681C9799B9}">
  <sheetPr>
    <tabColor rgb="FF00B050"/>
    <pageSetUpPr fitToPage="1"/>
  </sheetPr>
  <dimension ref="A1:AA58"/>
  <sheetViews>
    <sheetView zoomScale="80" zoomScaleNormal="80" workbookViewId="0">
      <selection activeCell="J19" sqref="J19:N21"/>
    </sheetView>
  </sheetViews>
  <sheetFormatPr defaultRowHeight="15" x14ac:dyDescent="0.25"/>
  <cols>
    <col min="1" max="1" width="63.7109375" customWidth="1"/>
    <col min="2" max="2" width="74.710937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829</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227.45" customHeight="1" x14ac:dyDescent="0.25">
      <c r="A8" s="3" t="s">
        <v>238</v>
      </c>
      <c r="B8" s="283" t="s">
        <v>844</v>
      </c>
      <c r="E8" s="352" t="s">
        <v>100</v>
      </c>
      <c r="F8" s="352"/>
      <c r="G8" s="352"/>
      <c r="H8" s="352"/>
      <c r="I8" s="352"/>
    </row>
    <row r="9" spans="1:27" ht="391.15" customHeight="1" x14ac:dyDescent="0.25">
      <c r="A9" s="3" t="s">
        <v>803</v>
      </c>
      <c r="B9" s="223" t="s">
        <v>835</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4300000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658</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69C0-61B8-42E1-955B-12FD95AFB7E2}">
  <sheetPr>
    <tabColor rgb="FF00B050"/>
    <pageSetUpPr fitToPage="1"/>
  </sheetPr>
  <dimension ref="A1:AA59"/>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815</v>
      </c>
      <c r="B1" s="45"/>
      <c r="D1" s="347" t="s">
        <v>823</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787</v>
      </c>
    </row>
    <row r="8" spans="1:27" ht="21" customHeight="1" x14ac:dyDescent="0.25">
      <c r="A8" s="3" t="s">
        <v>134</v>
      </c>
      <c r="B8" s="3" t="s">
        <v>816</v>
      </c>
    </row>
    <row r="9" spans="1:27" ht="99.6" customHeight="1" x14ac:dyDescent="0.25">
      <c r="A9" s="3" t="s">
        <v>238</v>
      </c>
      <c r="B9" s="119" t="s">
        <v>820</v>
      </c>
      <c r="E9" s="352" t="s">
        <v>100</v>
      </c>
      <c r="F9" s="352"/>
      <c r="G9" s="352"/>
      <c r="H9" s="352"/>
      <c r="I9" s="352"/>
    </row>
    <row r="10" spans="1:27" ht="262.14999999999998" customHeight="1" x14ac:dyDescent="0.25">
      <c r="A10" s="3" t="s">
        <v>803</v>
      </c>
      <c r="B10" s="223" t="s">
        <v>821</v>
      </c>
      <c r="E10" s="176"/>
      <c r="F10" s="176"/>
      <c r="G10" s="176"/>
      <c r="H10" s="176"/>
      <c r="I10" s="176"/>
    </row>
    <row r="11" spans="1:27" ht="15.75" thickBot="1" x14ac:dyDescent="0.3">
      <c r="A11" s="3" t="s">
        <v>1</v>
      </c>
      <c r="B11" s="3" t="s">
        <v>798</v>
      </c>
      <c r="C11" s="1" t="s">
        <v>48</v>
      </c>
      <c r="E11" s="353" t="s">
        <v>53</v>
      </c>
      <c r="F11" s="354"/>
      <c r="G11" s="354"/>
      <c r="H11" s="355"/>
      <c r="I11" s="213" t="s">
        <v>517</v>
      </c>
      <c r="J11" t="s">
        <v>74</v>
      </c>
      <c r="P11" s="36" t="s">
        <v>76</v>
      </c>
      <c r="Q11" s="36"/>
      <c r="R11" s="36"/>
      <c r="S11" s="36"/>
      <c r="T11" s="36"/>
      <c r="U11" s="36"/>
      <c r="V11" s="36"/>
      <c r="W11" s="36"/>
      <c r="X11" s="36"/>
      <c r="Y11" s="36"/>
      <c r="Z11" s="36"/>
      <c r="AA11" s="36"/>
    </row>
    <row r="12" spans="1:27" ht="48" customHeight="1" thickBot="1" x14ac:dyDescent="0.3">
      <c r="A12" s="3" t="s">
        <v>4</v>
      </c>
      <c r="B12" s="3" t="s">
        <v>134</v>
      </c>
      <c r="C12" s="1" t="s">
        <v>3</v>
      </c>
      <c r="E12" s="30" t="s">
        <v>75</v>
      </c>
      <c r="F12" s="31" t="s">
        <v>147</v>
      </c>
      <c r="G12" s="31" t="s">
        <v>146</v>
      </c>
      <c r="H12" s="31" t="s">
        <v>90</v>
      </c>
      <c r="I12" s="31" t="s">
        <v>144</v>
      </c>
      <c r="J12" s="344" t="s">
        <v>92</v>
      </c>
      <c r="K12" s="345"/>
      <c r="L12" s="345"/>
      <c r="M12" s="345"/>
      <c r="N12" s="345"/>
      <c r="P12" s="36" t="s">
        <v>77</v>
      </c>
      <c r="Q12" s="41">
        <v>0.9</v>
      </c>
      <c r="R12" s="39">
        <v>0.8</v>
      </c>
      <c r="S12" s="39">
        <v>0.7</v>
      </c>
      <c r="T12" s="40">
        <v>0.6</v>
      </c>
      <c r="U12" s="41">
        <v>0.5</v>
      </c>
      <c r="V12" s="39">
        <v>0.4</v>
      </c>
      <c r="W12" s="39">
        <v>0.3</v>
      </c>
      <c r="X12" s="39">
        <v>0.2</v>
      </c>
      <c r="Y12" s="39">
        <v>0.1</v>
      </c>
      <c r="Z12" s="39">
        <v>0.05</v>
      </c>
      <c r="AA12" s="38">
        <v>18537</v>
      </c>
    </row>
    <row r="13" spans="1:27" ht="19.5" customHeight="1" x14ac:dyDescent="0.25">
      <c r="A13" s="7" t="s">
        <v>49</v>
      </c>
      <c r="B13" s="7" t="s">
        <v>134</v>
      </c>
      <c r="E13" s="26">
        <v>2012</v>
      </c>
      <c r="F13" s="26"/>
      <c r="G13" s="26"/>
      <c r="H13" s="26"/>
      <c r="I13" s="3"/>
      <c r="J13" s="344"/>
      <c r="K13" s="345"/>
      <c r="L13" s="345"/>
      <c r="M13" s="345"/>
      <c r="N13" s="345"/>
      <c r="P13" s="36">
        <v>2011</v>
      </c>
      <c r="Q13" s="36">
        <v>1030</v>
      </c>
      <c r="R13" s="36">
        <v>1035</v>
      </c>
      <c r="S13" s="36">
        <v>1040</v>
      </c>
      <c r="T13" s="36">
        <v>1050</v>
      </c>
      <c r="U13" s="36">
        <v>1070</v>
      </c>
      <c r="V13" s="36">
        <v>1075</v>
      </c>
      <c r="W13" s="36">
        <v>1090</v>
      </c>
      <c r="X13" s="36">
        <v>1095</v>
      </c>
      <c r="Y13" s="36">
        <v>1110</v>
      </c>
      <c r="Z13" s="36">
        <v>1110</v>
      </c>
      <c r="AA13" s="36">
        <v>1.0373829999999999</v>
      </c>
    </row>
    <row r="14" spans="1:27" ht="15" customHeight="1" x14ac:dyDescent="0.25">
      <c r="A14" s="7" t="s">
        <v>50</v>
      </c>
      <c r="B14" s="7" t="s">
        <v>134</v>
      </c>
      <c r="E14" s="26">
        <v>2013</v>
      </c>
      <c r="F14" s="26"/>
      <c r="G14" s="26"/>
      <c r="H14" s="26"/>
      <c r="I14" s="3"/>
      <c r="J14" s="344" t="s">
        <v>91</v>
      </c>
      <c r="K14" s="345"/>
      <c r="L14" s="345"/>
      <c r="M14" s="345"/>
      <c r="N14" s="345"/>
      <c r="P14" s="36">
        <v>2012</v>
      </c>
      <c r="Q14" s="36">
        <v>1050</v>
      </c>
      <c r="R14" s="36">
        <v>1055</v>
      </c>
      <c r="S14" s="36">
        <v>1060</v>
      </c>
      <c r="T14" s="36">
        <v>1070</v>
      </c>
      <c r="U14" s="36">
        <v>1090</v>
      </c>
      <c r="V14" s="36">
        <v>1095</v>
      </c>
      <c r="W14" s="36">
        <v>1115</v>
      </c>
      <c r="X14" s="36">
        <v>1120</v>
      </c>
      <c r="Y14" s="36">
        <v>1125</v>
      </c>
      <c r="Z14" s="36">
        <v>1135</v>
      </c>
      <c r="AA14" s="36">
        <v>1.0321100000000001</v>
      </c>
    </row>
    <row r="15" spans="1:27" x14ac:dyDescent="0.25">
      <c r="A15" s="7" t="s">
        <v>51</v>
      </c>
      <c r="B15" s="7"/>
      <c r="C15" s="1" t="s">
        <v>52</v>
      </c>
      <c r="E15" s="26">
        <v>2014</v>
      </c>
      <c r="F15" s="26"/>
      <c r="G15" s="26"/>
      <c r="H15" s="26"/>
      <c r="I15" s="3"/>
      <c r="J15" s="344"/>
      <c r="K15" s="345"/>
      <c r="L15" s="345"/>
      <c r="M15" s="345"/>
      <c r="N15" s="345"/>
      <c r="P15" s="36">
        <v>2013</v>
      </c>
      <c r="Q15" s="36">
        <v>1065</v>
      </c>
      <c r="R15" s="36">
        <v>1070</v>
      </c>
      <c r="S15" s="36">
        <v>1075</v>
      </c>
      <c r="T15" s="36">
        <v>1085</v>
      </c>
      <c r="U15" s="36">
        <v>1105</v>
      </c>
      <c r="V15" s="36">
        <v>1110</v>
      </c>
      <c r="W15" s="36">
        <v>1130</v>
      </c>
      <c r="X15" s="36">
        <v>1135</v>
      </c>
      <c r="Y15" s="36">
        <v>1150</v>
      </c>
      <c r="Z15" s="36">
        <v>1150</v>
      </c>
      <c r="AA15" s="36">
        <v>1.040724</v>
      </c>
    </row>
    <row r="16" spans="1:27" ht="21.75" customHeight="1" x14ac:dyDescent="0.25">
      <c r="A16" s="7" t="s">
        <v>53</v>
      </c>
      <c r="B16" s="18"/>
      <c r="E16" s="26">
        <v>2015</v>
      </c>
      <c r="F16" s="26"/>
      <c r="G16" s="26"/>
      <c r="H16" s="26"/>
      <c r="I16" s="3"/>
      <c r="J16" s="344"/>
      <c r="K16" s="345"/>
      <c r="L16" s="345"/>
      <c r="M16" s="345"/>
      <c r="N16" s="345"/>
      <c r="P16" s="36">
        <v>2014</v>
      </c>
      <c r="Q16" s="36">
        <v>1080</v>
      </c>
      <c r="R16" s="36">
        <v>1085</v>
      </c>
      <c r="S16" s="36">
        <v>1090</v>
      </c>
      <c r="T16" s="36">
        <v>1100</v>
      </c>
      <c r="U16" s="36">
        <v>1120</v>
      </c>
      <c r="V16" s="36">
        <v>1125</v>
      </c>
      <c r="W16" s="36">
        <v>1145</v>
      </c>
      <c r="X16" s="36">
        <v>1150</v>
      </c>
      <c r="Y16" s="36">
        <v>1165</v>
      </c>
      <c r="Z16" s="36">
        <v>1170</v>
      </c>
      <c r="AA16" s="36">
        <v>1.040179</v>
      </c>
    </row>
    <row r="17" spans="1:27" x14ac:dyDescent="0.25">
      <c r="A17" s="206" t="s">
        <v>41</v>
      </c>
      <c r="B17" s="364" t="s">
        <v>97</v>
      </c>
      <c r="E17" s="26">
        <v>2016</v>
      </c>
      <c r="F17" s="26"/>
      <c r="G17" s="26"/>
      <c r="H17" s="26"/>
      <c r="I17" s="3"/>
      <c r="J17" s="344"/>
      <c r="K17" s="345"/>
      <c r="L17" s="345"/>
      <c r="M17" s="345"/>
      <c r="N17" s="345"/>
      <c r="P17" s="36">
        <v>2015</v>
      </c>
      <c r="Q17" s="36">
        <v>1095</v>
      </c>
      <c r="R17" s="36">
        <v>1100</v>
      </c>
      <c r="S17" s="36">
        <v>1105</v>
      </c>
      <c r="T17" s="36">
        <v>1115</v>
      </c>
      <c r="U17" s="36">
        <v>1135</v>
      </c>
      <c r="V17" s="36">
        <v>1140</v>
      </c>
      <c r="W17" s="36">
        <v>1160</v>
      </c>
      <c r="X17" s="36">
        <v>1165</v>
      </c>
      <c r="Y17" s="36">
        <v>1170</v>
      </c>
      <c r="Z17" s="36">
        <v>1180</v>
      </c>
      <c r="AA17" s="36">
        <v>1.030837</v>
      </c>
    </row>
    <row r="18" spans="1:27" ht="60.75" customHeight="1" x14ac:dyDescent="0.25">
      <c r="A18" s="206" t="s">
        <v>7</v>
      </c>
      <c r="B18" s="365"/>
      <c r="C18" s="1" t="s">
        <v>21</v>
      </c>
      <c r="E18" s="26">
        <v>2017</v>
      </c>
      <c r="F18" s="26"/>
      <c r="G18" s="26"/>
      <c r="H18" s="26"/>
      <c r="I18" s="3"/>
      <c r="J18" s="356"/>
      <c r="K18" s="357"/>
      <c r="L18" s="357"/>
      <c r="M18" s="357"/>
      <c r="N18" s="357"/>
      <c r="P18" s="36">
        <v>2016</v>
      </c>
      <c r="Q18" s="36">
        <v>1105</v>
      </c>
      <c r="R18" s="36">
        <v>1110</v>
      </c>
      <c r="S18" s="36">
        <v>1115</v>
      </c>
      <c r="T18" s="36">
        <v>1125</v>
      </c>
      <c r="U18" s="36">
        <v>1145</v>
      </c>
      <c r="V18" s="36">
        <v>1150</v>
      </c>
      <c r="W18" s="36">
        <v>1170</v>
      </c>
      <c r="X18" s="36">
        <v>1175</v>
      </c>
      <c r="Y18" s="36">
        <v>1190</v>
      </c>
      <c r="Z18" s="36">
        <v>1195</v>
      </c>
      <c r="AA18" s="36">
        <v>1.039301</v>
      </c>
    </row>
    <row r="19" spans="1:27" x14ac:dyDescent="0.25">
      <c r="A19" s="81" t="s">
        <v>72</v>
      </c>
      <c r="B19" s="81"/>
      <c r="C19" s="1" t="s">
        <v>73</v>
      </c>
      <c r="E19" s="26">
        <v>2018</v>
      </c>
      <c r="F19" s="26"/>
      <c r="G19" s="26"/>
      <c r="H19" s="26"/>
      <c r="I19" s="3"/>
      <c r="J19" s="27" t="s">
        <v>89</v>
      </c>
      <c r="K19" s="28"/>
      <c r="L19" s="28"/>
      <c r="M19" s="28"/>
      <c r="N19" s="29"/>
      <c r="P19" s="36">
        <v>2017</v>
      </c>
      <c r="Q19" s="36">
        <v>1115</v>
      </c>
      <c r="R19" s="36">
        <v>1120</v>
      </c>
      <c r="S19" s="36">
        <v>1125</v>
      </c>
      <c r="T19" s="36">
        <v>1135</v>
      </c>
      <c r="U19" s="36">
        <v>1155</v>
      </c>
      <c r="V19" s="36">
        <v>1160</v>
      </c>
      <c r="W19" s="36">
        <v>1180</v>
      </c>
      <c r="X19" s="36">
        <v>1185</v>
      </c>
      <c r="Y19" s="36">
        <v>1195</v>
      </c>
      <c r="Z19" s="36">
        <v>1205</v>
      </c>
      <c r="AA19" s="36">
        <v>1.034632</v>
      </c>
    </row>
    <row r="20" spans="1:27" x14ac:dyDescent="0.25">
      <c r="A20" s="81" t="s">
        <v>68</v>
      </c>
      <c r="B20" s="82"/>
      <c r="C20" s="1" t="s">
        <v>69</v>
      </c>
      <c r="E20" s="26">
        <v>2019</v>
      </c>
      <c r="F20" s="26"/>
      <c r="G20" s="26"/>
      <c r="H20" s="26"/>
      <c r="I20" s="3"/>
      <c r="J20" s="335"/>
      <c r="K20" s="336"/>
      <c r="L20" s="336"/>
      <c r="M20" s="336"/>
      <c r="N20" s="337"/>
      <c r="P20" s="36">
        <v>2018</v>
      </c>
      <c r="Q20" s="36">
        <v>1125</v>
      </c>
      <c r="R20" s="36">
        <v>1130</v>
      </c>
      <c r="S20" s="36">
        <v>1140</v>
      </c>
      <c r="T20" s="36">
        <v>1150</v>
      </c>
      <c r="U20" s="36">
        <v>1170</v>
      </c>
      <c r="V20" s="36">
        <v>1175</v>
      </c>
      <c r="W20" s="36">
        <v>1195</v>
      </c>
      <c r="X20" s="36">
        <v>1200</v>
      </c>
      <c r="Y20" s="36">
        <v>1215</v>
      </c>
      <c r="Z20" s="36">
        <v>1215</v>
      </c>
      <c r="AA20" s="36">
        <v>1.038462</v>
      </c>
    </row>
    <row r="21" spans="1:27" ht="21" customHeight="1" x14ac:dyDescent="0.25">
      <c r="A21" s="81" t="s">
        <v>67</v>
      </c>
      <c r="B21" s="81"/>
      <c r="C21" s="1" t="s">
        <v>70</v>
      </c>
      <c r="E21" s="26">
        <v>2020</v>
      </c>
      <c r="F21" s="26"/>
      <c r="G21" s="26"/>
      <c r="H21" s="26"/>
      <c r="I21" s="3"/>
      <c r="J21" s="338"/>
      <c r="K21" s="339"/>
      <c r="L21" s="339"/>
      <c r="M21" s="339"/>
      <c r="N21" s="340"/>
      <c r="P21" s="36">
        <v>2019</v>
      </c>
      <c r="Q21" s="36">
        <v>1135</v>
      </c>
      <c r="R21" s="36">
        <v>1140</v>
      </c>
      <c r="S21" s="36">
        <v>1150</v>
      </c>
      <c r="T21" s="36">
        <v>1160</v>
      </c>
      <c r="U21" s="36">
        <v>1180</v>
      </c>
      <c r="V21" s="36">
        <v>1185</v>
      </c>
      <c r="W21" s="36">
        <v>1205</v>
      </c>
      <c r="X21" s="36">
        <v>1210</v>
      </c>
      <c r="Y21" s="36">
        <v>1225</v>
      </c>
      <c r="Z21" s="36">
        <v>1230</v>
      </c>
      <c r="AA21" s="36">
        <v>1.0381359999999999</v>
      </c>
    </row>
    <row r="22" spans="1:27" ht="48.75" customHeight="1" x14ac:dyDescent="0.25">
      <c r="A22" s="3" t="s">
        <v>98</v>
      </c>
      <c r="B22" s="210" t="s">
        <v>99</v>
      </c>
      <c r="C22" s="1" t="s">
        <v>58</v>
      </c>
      <c r="E22" s="26">
        <v>2021</v>
      </c>
      <c r="F22" s="26"/>
      <c r="G22" s="26"/>
      <c r="H22" s="26"/>
      <c r="I22" s="3"/>
      <c r="J22" s="341"/>
      <c r="K22" s="342"/>
      <c r="L22" s="342"/>
      <c r="M22" s="342"/>
      <c r="N22" s="343"/>
      <c r="P22" s="36">
        <v>2020</v>
      </c>
      <c r="Q22" s="36">
        <v>1145</v>
      </c>
      <c r="R22" s="36">
        <v>1150</v>
      </c>
      <c r="S22" s="36">
        <v>1155</v>
      </c>
      <c r="T22" s="36">
        <v>1170</v>
      </c>
      <c r="U22" s="36">
        <v>1190</v>
      </c>
      <c r="V22" s="36">
        <v>1195</v>
      </c>
      <c r="W22" s="36">
        <v>1215</v>
      </c>
      <c r="X22" s="36">
        <v>1225</v>
      </c>
      <c r="Y22" s="36">
        <v>1235</v>
      </c>
      <c r="Z22" s="36">
        <v>1240</v>
      </c>
      <c r="AA22" s="36">
        <v>1.0378149999999999</v>
      </c>
    </row>
    <row r="23" spans="1:27" x14ac:dyDescent="0.25">
      <c r="A23" s="3" t="s">
        <v>5</v>
      </c>
      <c r="B23" s="91" t="s">
        <v>819</v>
      </c>
      <c r="C23" s="1" t="s">
        <v>6</v>
      </c>
      <c r="E23" s="26">
        <v>2022</v>
      </c>
      <c r="F23" s="26"/>
      <c r="G23" s="26"/>
      <c r="H23" s="26"/>
      <c r="I23" s="3"/>
      <c r="P23" s="36" t="s">
        <v>78</v>
      </c>
      <c r="Q23" s="36"/>
      <c r="R23" s="36"/>
      <c r="S23" s="36"/>
      <c r="T23" s="36"/>
      <c r="U23" s="36"/>
      <c r="V23" s="36"/>
      <c r="W23" s="36"/>
      <c r="X23" s="36"/>
      <c r="Y23" s="36"/>
      <c r="Z23" s="36"/>
      <c r="AA23" s="36"/>
    </row>
    <row r="24" spans="1:27" ht="26.45" customHeight="1" x14ac:dyDescent="0.25">
      <c r="A24" s="3" t="s">
        <v>55</v>
      </c>
      <c r="B24" s="17" t="s">
        <v>817</v>
      </c>
      <c r="C24" s="1" t="s">
        <v>54</v>
      </c>
      <c r="E24" s="26">
        <v>2023</v>
      </c>
      <c r="F24" s="26"/>
      <c r="G24" s="26"/>
      <c r="H24" s="26"/>
      <c r="I24" s="3"/>
      <c r="J24" s="344" t="s">
        <v>96</v>
      </c>
      <c r="K24" s="345"/>
      <c r="L24" s="345"/>
      <c r="M24" s="345"/>
      <c r="N24" s="345"/>
      <c r="P24" s="36" t="s">
        <v>79</v>
      </c>
      <c r="Q24" s="36">
        <v>1030</v>
      </c>
      <c r="R24" s="36">
        <v>1035</v>
      </c>
      <c r="S24" s="36">
        <v>1035</v>
      </c>
      <c r="T24" s="36">
        <v>1035</v>
      </c>
      <c r="U24" s="36">
        <v>1045</v>
      </c>
      <c r="V24" s="36">
        <v>1050</v>
      </c>
      <c r="W24" s="36">
        <v>1055</v>
      </c>
      <c r="X24" s="36">
        <v>1055</v>
      </c>
      <c r="Y24" s="36">
        <v>1060</v>
      </c>
      <c r="Z24" s="36">
        <v>1070</v>
      </c>
      <c r="AA24" s="36">
        <v>1.014354</v>
      </c>
    </row>
    <row r="25" spans="1:27" ht="30.75" customHeight="1" x14ac:dyDescent="0.25">
      <c r="A25" s="3" t="s">
        <v>56</v>
      </c>
      <c r="B25" s="16"/>
      <c r="C25" s="1" t="s">
        <v>57</v>
      </c>
      <c r="E25" s="26">
        <v>2024</v>
      </c>
      <c r="F25" s="26"/>
      <c r="G25" s="26"/>
      <c r="H25" s="26"/>
      <c r="I25" s="3"/>
      <c r="J25" s="344"/>
      <c r="K25" s="345"/>
      <c r="L25" s="345"/>
      <c r="M25" s="345"/>
      <c r="N25" s="345"/>
      <c r="P25" s="36" t="s">
        <v>80</v>
      </c>
      <c r="Q25" s="36">
        <v>1040</v>
      </c>
      <c r="R25" s="36">
        <v>1045</v>
      </c>
      <c r="S25" s="36">
        <v>1045</v>
      </c>
      <c r="T25" s="36">
        <v>1045</v>
      </c>
      <c r="U25" s="36">
        <v>1055</v>
      </c>
      <c r="V25" s="36">
        <v>1060</v>
      </c>
      <c r="W25" s="36">
        <v>1065</v>
      </c>
      <c r="X25" s="36">
        <v>1065</v>
      </c>
      <c r="Y25" s="36">
        <v>1070</v>
      </c>
      <c r="Z25" s="36">
        <v>1080</v>
      </c>
      <c r="AA25" s="36">
        <v>1.0142180000000001</v>
      </c>
    </row>
    <row r="26" spans="1:27" x14ac:dyDescent="0.25">
      <c r="A26" s="12"/>
      <c r="B26" s="13"/>
      <c r="E26" s="26">
        <v>2025</v>
      </c>
      <c r="F26" s="26"/>
      <c r="G26" s="26"/>
      <c r="H26" s="26"/>
      <c r="I26" s="3"/>
      <c r="J26" s="344"/>
      <c r="K26" s="345"/>
      <c r="L26" s="345"/>
      <c r="M26" s="345"/>
      <c r="N26" s="345"/>
      <c r="P26" s="36" t="s">
        <v>81</v>
      </c>
      <c r="Q26" s="36">
        <v>1050</v>
      </c>
      <c r="R26" s="36">
        <v>1055</v>
      </c>
      <c r="S26" s="36">
        <v>1055</v>
      </c>
      <c r="T26" s="36">
        <v>1055</v>
      </c>
      <c r="U26" s="36">
        <v>1065</v>
      </c>
      <c r="V26" s="36">
        <v>1070</v>
      </c>
      <c r="W26" s="36">
        <v>1075</v>
      </c>
      <c r="X26" s="36">
        <v>1075</v>
      </c>
      <c r="Y26" s="36">
        <v>1080</v>
      </c>
      <c r="Z26" s="36">
        <v>1095</v>
      </c>
      <c r="AA26" s="36">
        <v>1.0140849999999999</v>
      </c>
    </row>
    <row r="27" spans="1:27" x14ac:dyDescent="0.25">
      <c r="A27" s="346" t="s">
        <v>71</v>
      </c>
      <c r="B27" s="346"/>
      <c r="E27" s="26">
        <v>2026</v>
      </c>
      <c r="F27" s="26"/>
      <c r="G27" s="26"/>
      <c r="H27" s="26"/>
      <c r="I27" s="3"/>
      <c r="P27" s="36" t="s">
        <v>82</v>
      </c>
      <c r="Q27" s="36">
        <v>1055</v>
      </c>
      <c r="R27" s="36">
        <v>1060</v>
      </c>
      <c r="S27" s="36">
        <v>1060</v>
      </c>
      <c r="T27" s="36">
        <v>1060</v>
      </c>
      <c r="U27" s="36">
        <v>1070</v>
      </c>
      <c r="V27" s="36">
        <v>1075</v>
      </c>
      <c r="W27" s="36">
        <v>1080</v>
      </c>
      <c r="X27" s="36">
        <v>1080</v>
      </c>
      <c r="Y27" s="36">
        <v>1085</v>
      </c>
      <c r="Z27" s="36">
        <v>1095</v>
      </c>
      <c r="AA27" s="36">
        <v>1.014019</v>
      </c>
    </row>
    <row r="28" spans="1:27" x14ac:dyDescent="0.25">
      <c r="A28" s="3" t="s">
        <v>28</v>
      </c>
      <c r="B28" s="3"/>
      <c r="E28" s="26">
        <v>2027</v>
      </c>
      <c r="F28" s="26"/>
      <c r="G28" s="26"/>
      <c r="H28" s="26"/>
      <c r="I28" s="3"/>
      <c r="P28" s="36" t="s">
        <v>83</v>
      </c>
      <c r="Q28" s="36">
        <v>1060</v>
      </c>
      <c r="R28" s="36">
        <v>1065</v>
      </c>
      <c r="S28" s="36">
        <v>1065</v>
      </c>
      <c r="T28" s="36">
        <v>1065</v>
      </c>
      <c r="U28" s="36">
        <v>1075</v>
      </c>
      <c r="V28" s="36">
        <v>1080</v>
      </c>
      <c r="W28" s="36">
        <v>1085</v>
      </c>
      <c r="X28" s="36">
        <v>1085</v>
      </c>
      <c r="Y28" s="36">
        <v>1090</v>
      </c>
      <c r="Z28" s="36">
        <v>1110</v>
      </c>
      <c r="AA28" s="36">
        <v>1.0139530000000001</v>
      </c>
    </row>
    <row r="29" spans="1:27" x14ac:dyDescent="0.25">
      <c r="A29" s="3" t="s">
        <v>29</v>
      </c>
      <c r="B29" s="3"/>
      <c r="E29" s="26">
        <v>2028</v>
      </c>
      <c r="F29" s="26"/>
      <c r="G29" s="26"/>
      <c r="H29" s="26"/>
      <c r="I29" s="3"/>
      <c r="P29" s="36" t="s">
        <v>84</v>
      </c>
      <c r="Q29" s="36">
        <v>1065</v>
      </c>
      <c r="R29" s="36">
        <v>1070</v>
      </c>
      <c r="S29" s="36">
        <v>1070</v>
      </c>
      <c r="T29" s="36">
        <v>1070</v>
      </c>
      <c r="U29" s="36">
        <v>1080</v>
      </c>
      <c r="V29" s="36">
        <v>1085</v>
      </c>
      <c r="W29" s="36">
        <v>1090</v>
      </c>
      <c r="X29" s="36">
        <v>1090</v>
      </c>
      <c r="Y29" s="36">
        <v>1100</v>
      </c>
      <c r="Z29" s="36">
        <v>1110</v>
      </c>
      <c r="AA29" s="36">
        <v>1.018519</v>
      </c>
    </row>
    <row r="30" spans="1:27" ht="39.75" customHeight="1" x14ac:dyDescent="0.25">
      <c r="A30" s="3" t="s">
        <v>30</v>
      </c>
      <c r="B30" s="17"/>
      <c r="C30" s="1" t="s">
        <v>43</v>
      </c>
      <c r="E30" s="26">
        <v>2029</v>
      </c>
      <c r="F30" s="26"/>
      <c r="G30" s="26"/>
      <c r="H30" s="26"/>
      <c r="I30" s="3"/>
      <c r="P30" s="36" t="s">
        <v>85</v>
      </c>
      <c r="Q30" s="36">
        <v>1075</v>
      </c>
      <c r="R30" s="36">
        <v>1080</v>
      </c>
      <c r="S30" s="36">
        <v>1080</v>
      </c>
      <c r="T30" s="36">
        <v>1080</v>
      </c>
      <c r="U30" s="36">
        <v>1090</v>
      </c>
      <c r="V30" s="36">
        <v>1095</v>
      </c>
      <c r="W30" s="36">
        <v>1100</v>
      </c>
      <c r="X30" s="36">
        <v>1100</v>
      </c>
      <c r="Y30" s="36">
        <v>1105</v>
      </c>
      <c r="Z30" s="36">
        <v>1120</v>
      </c>
      <c r="AA30" s="36">
        <v>1.0137609999999999</v>
      </c>
    </row>
    <row r="31" spans="1:27" x14ac:dyDescent="0.25">
      <c r="A31" s="3" t="s">
        <v>44</v>
      </c>
      <c r="B31" s="3"/>
      <c r="E31" s="26">
        <v>2030</v>
      </c>
      <c r="F31" s="26"/>
      <c r="G31" s="26"/>
      <c r="H31" s="26"/>
      <c r="I31" s="3"/>
      <c r="P31" s="36" t="s">
        <v>86</v>
      </c>
      <c r="Q31" s="36">
        <v>1080</v>
      </c>
      <c r="R31" s="36">
        <v>1085</v>
      </c>
      <c r="S31" s="36">
        <v>1085</v>
      </c>
      <c r="T31" s="36">
        <v>1085</v>
      </c>
      <c r="U31" s="36">
        <v>1095</v>
      </c>
      <c r="V31" s="36">
        <v>1100</v>
      </c>
      <c r="W31" s="36">
        <v>1105</v>
      </c>
      <c r="X31" s="36">
        <v>1105</v>
      </c>
      <c r="Y31" s="36">
        <v>1110</v>
      </c>
      <c r="Z31" s="36">
        <v>1120</v>
      </c>
      <c r="AA31" s="36">
        <v>1.0136989999999999</v>
      </c>
    </row>
    <row r="32" spans="1:27" x14ac:dyDescent="0.25">
      <c r="A32" s="3" t="s">
        <v>47</v>
      </c>
      <c r="B32" s="3"/>
      <c r="E32" s="26">
        <v>2031</v>
      </c>
      <c r="F32" s="26"/>
      <c r="G32" s="26"/>
      <c r="H32" s="26"/>
      <c r="I32" s="3"/>
      <c r="P32" s="36" t="s">
        <v>87</v>
      </c>
      <c r="Q32" s="36">
        <v>1085</v>
      </c>
      <c r="R32" s="36">
        <v>1090</v>
      </c>
      <c r="S32" s="36">
        <v>1090</v>
      </c>
      <c r="T32" s="36">
        <v>1090</v>
      </c>
      <c r="U32" s="36">
        <v>1100</v>
      </c>
      <c r="V32" s="36">
        <v>1105</v>
      </c>
      <c r="W32" s="36">
        <v>1110</v>
      </c>
      <c r="X32" s="36">
        <v>1110</v>
      </c>
      <c r="Y32" s="36">
        <v>1115</v>
      </c>
      <c r="Z32" s="36">
        <v>1125</v>
      </c>
      <c r="AA32" s="36">
        <v>1.013636</v>
      </c>
    </row>
    <row r="33" spans="1:27" x14ac:dyDescent="0.25">
      <c r="A33" s="3" t="s">
        <v>45</v>
      </c>
      <c r="B33" s="3"/>
      <c r="P33" s="36" t="s">
        <v>88</v>
      </c>
      <c r="Q33" s="36">
        <v>1090</v>
      </c>
      <c r="R33" s="36">
        <v>1095</v>
      </c>
      <c r="S33" s="36">
        <v>1095</v>
      </c>
      <c r="T33" s="36">
        <v>1095</v>
      </c>
      <c r="U33" s="36">
        <v>1105</v>
      </c>
      <c r="V33" s="36">
        <v>1110</v>
      </c>
      <c r="W33" s="36">
        <v>1115</v>
      </c>
      <c r="X33" s="36">
        <v>1115</v>
      </c>
      <c r="Y33" s="36">
        <v>1120</v>
      </c>
      <c r="Z33" s="36">
        <v>1130</v>
      </c>
      <c r="AA33" s="36">
        <v>1.0135749999999999</v>
      </c>
    </row>
    <row r="34" spans="1:27" x14ac:dyDescent="0.25">
      <c r="A34" s="3" t="s">
        <v>46</v>
      </c>
      <c r="B34" s="3"/>
    </row>
    <row r="35" spans="1:27" ht="16.5" customHeight="1" x14ac:dyDescent="0.25">
      <c r="A35" s="84"/>
    </row>
    <row r="40" spans="1:27" x14ac:dyDescent="0.25">
      <c r="A40" s="73" t="s">
        <v>818</v>
      </c>
    </row>
    <row r="58" customFormat="1" x14ac:dyDescent="0.25"/>
    <row r="59" customFormat="1" x14ac:dyDescent="0.25"/>
  </sheetData>
  <mergeCells count="10">
    <mergeCell ref="J20:N22"/>
    <mergeCell ref="J24:N26"/>
    <mergeCell ref="A27:B27"/>
    <mergeCell ref="D1:H1"/>
    <mergeCell ref="A6:B6"/>
    <mergeCell ref="E9:I9"/>
    <mergeCell ref="E11:H11"/>
    <mergeCell ref="J12:N13"/>
    <mergeCell ref="J14:N18"/>
    <mergeCell ref="B17:B18"/>
  </mergeCells>
  <pageMargins left="0.7" right="0.7" top="0.75" bottom="0.75" header="0.3" footer="0.3"/>
  <pageSetup scale="5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1688-6EAA-4CCA-852E-BDE2886004FA}">
  <sheetPr>
    <tabColor rgb="FF00B050"/>
    <pageSetUpPr fitToPage="1"/>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788</v>
      </c>
      <c r="B1" s="45"/>
      <c r="D1" s="347" t="s">
        <v>836</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827</v>
      </c>
    </row>
    <row r="8" spans="1:27" ht="239.45" customHeight="1" x14ac:dyDescent="0.25">
      <c r="A8" s="3" t="s">
        <v>238</v>
      </c>
      <c r="B8" s="119" t="s">
        <v>837</v>
      </c>
      <c r="E8" s="352" t="s">
        <v>100</v>
      </c>
      <c r="F8" s="352"/>
      <c r="G8" s="352"/>
      <c r="H8" s="352"/>
      <c r="I8" s="352"/>
    </row>
    <row r="9" spans="1:27" ht="188.45" customHeight="1" x14ac:dyDescent="0.25">
      <c r="A9" s="3" t="s">
        <v>803</v>
      </c>
      <c r="B9" s="283" t="s">
        <v>838</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t="s">
        <v>828</v>
      </c>
      <c r="C22" s="1" t="s">
        <v>6</v>
      </c>
      <c r="E22" s="26">
        <v>2022</v>
      </c>
      <c r="F22" s="26"/>
      <c r="G22" s="26"/>
      <c r="H22" s="26"/>
      <c r="I22" s="3"/>
      <c r="P22" s="36" t="s">
        <v>78</v>
      </c>
      <c r="Q22" s="36"/>
      <c r="R22" s="36"/>
      <c r="S22" s="36"/>
      <c r="T22" s="36"/>
      <c r="U22" s="36"/>
      <c r="V22" s="36"/>
      <c r="W22" s="36"/>
      <c r="X22" s="36"/>
      <c r="Y22" s="36"/>
      <c r="Z22" s="36"/>
      <c r="AA22" s="36"/>
    </row>
    <row r="23" spans="1:27" ht="26.45" customHeight="1" x14ac:dyDescent="0.25">
      <c r="A23" s="3" t="s">
        <v>55</v>
      </c>
      <c r="B23" s="17" t="s">
        <v>527</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39" spans="1:2" x14ac:dyDescent="0.25">
      <c r="A39" s="73"/>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DD10-E60E-45FB-A3CA-78ED2488B29B}">
  <sheetPr>
    <tabColor rgb="FF00B050"/>
    <pageSetUpPr fitToPage="1"/>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285" t="s">
        <v>822</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97.9" customHeight="1" x14ac:dyDescent="0.25">
      <c r="A8" s="3" t="s">
        <v>238</v>
      </c>
      <c r="B8" s="223" t="s">
        <v>825</v>
      </c>
      <c r="E8" s="352" t="s">
        <v>100</v>
      </c>
      <c r="F8" s="352"/>
      <c r="G8" s="352"/>
      <c r="H8" s="352"/>
      <c r="I8" s="352"/>
    </row>
    <row r="9" spans="1:27" ht="180" customHeight="1" x14ac:dyDescent="0.25">
      <c r="A9" s="3" t="s">
        <v>804</v>
      </c>
      <c r="B9" s="223" t="s">
        <v>826</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2100000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529</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552</v>
      </c>
      <c r="B1" s="45"/>
      <c r="D1" s="347" t="s">
        <v>648</v>
      </c>
      <c r="E1" s="348"/>
      <c r="F1" s="348"/>
      <c r="G1" s="348"/>
      <c r="H1" s="349"/>
    </row>
    <row r="2" spans="1:27" x14ac:dyDescent="0.25">
      <c r="A2" s="272" t="s">
        <v>760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289.14999999999998" customHeight="1" x14ac:dyDescent="0.25">
      <c r="A8" s="3" t="s">
        <v>2</v>
      </c>
      <c r="B8" s="287" t="s">
        <v>839</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v>2960107</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652</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pageSetUpPr fitToPage="1"/>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740</v>
      </c>
      <c r="B1" s="45"/>
      <c r="D1" s="347" t="s">
        <v>744</v>
      </c>
      <c r="E1" s="348"/>
      <c r="F1" s="348"/>
      <c r="G1" s="348"/>
      <c r="H1" s="349"/>
    </row>
    <row r="2" spans="1:27" x14ac:dyDescent="0.25">
      <c r="A2" s="259">
        <v>43971</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745</v>
      </c>
    </row>
    <row r="8" spans="1:27" ht="171.6" customHeight="1" x14ac:dyDescent="0.25">
      <c r="A8" s="3" t="s">
        <v>2</v>
      </c>
      <c r="B8" s="260" t="s">
        <v>742</v>
      </c>
      <c r="E8" s="352" t="s">
        <v>100</v>
      </c>
      <c r="F8" s="352"/>
      <c r="G8" s="352"/>
      <c r="H8" s="352"/>
      <c r="I8" s="352"/>
    </row>
    <row r="9" spans="1:27" ht="126.6" customHeight="1" x14ac:dyDescent="0.25">
      <c r="A9" s="3" t="s">
        <v>238</v>
      </c>
      <c r="B9" s="260" t="s">
        <v>743</v>
      </c>
      <c r="E9" s="176"/>
      <c r="F9" s="176"/>
      <c r="G9" s="176"/>
      <c r="H9" s="176"/>
      <c r="I9" s="176"/>
    </row>
    <row r="10" spans="1:27" ht="15.75" thickBot="1" x14ac:dyDescent="0.3">
      <c r="A10" s="3" t="s">
        <v>1</v>
      </c>
      <c r="B10" s="3"/>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261" t="s">
        <v>517</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v>2000000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528</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I103"/>
  <sheetViews>
    <sheetView zoomScaleNormal="100" workbookViewId="0">
      <pane ySplit="1" topLeftCell="A44" activePane="bottomLeft" state="frozen"/>
      <selection activeCell="B1" sqref="B1"/>
      <selection pane="bottomLeft" activeCell="A40" sqref="A40:XFD40"/>
    </sheetView>
  </sheetViews>
  <sheetFormatPr defaultRowHeight="15" x14ac:dyDescent="0.25"/>
  <cols>
    <col min="1" max="1" width="21.85546875" bestFit="1" customWidth="1"/>
    <col min="2" max="2" width="39.140625" customWidth="1"/>
    <col min="3" max="3" width="43.5703125" customWidth="1"/>
    <col min="4" max="4" width="11.85546875" bestFit="1" customWidth="1"/>
    <col min="5" max="5" width="21.85546875" customWidth="1"/>
    <col min="6" max="7" width="20.85546875" style="75" customWidth="1"/>
    <col min="8" max="8" width="21.7109375" customWidth="1"/>
    <col min="9" max="9" width="83.28515625" customWidth="1"/>
  </cols>
  <sheetData>
    <row r="1" spans="1:9" ht="30" customHeight="1" thickTop="1" thickBot="1" x14ac:dyDescent="0.3">
      <c r="A1" s="220" t="s">
        <v>550</v>
      </c>
      <c r="B1" s="216" t="s">
        <v>39</v>
      </c>
      <c r="C1" s="216" t="s">
        <v>299</v>
      </c>
      <c r="D1" s="216" t="s">
        <v>300</v>
      </c>
      <c r="E1" s="219" t="s">
        <v>549</v>
      </c>
      <c r="F1" s="217" t="s">
        <v>532</v>
      </c>
      <c r="G1" s="217" t="s">
        <v>856</v>
      </c>
      <c r="H1" s="217" t="s">
        <v>752</v>
      </c>
      <c r="I1" s="218" t="s">
        <v>284</v>
      </c>
    </row>
    <row r="2" spans="1:9" ht="15.75" thickTop="1" x14ac:dyDescent="0.25">
      <c r="A2" s="258"/>
    </row>
    <row r="3" spans="1:9" x14ac:dyDescent="0.25">
      <c r="A3" s="247" t="s">
        <v>573</v>
      </c>
      <c r="B3" s="215"/>
      <c r="C3" s="215"/>
      <c r="D3" s="215"/>
      <c r="E3" s="215"/>
      <c r="F3" s="215"/>
      <c r="G3" s="215"/>
      <c r="H3" s="215"/>
      <c r="I3" s="215"/>
    </row>
    <row r="4" spans="1:9" x14ac:dyDescent="0.25">
      <c r="A4" s="183" t="s">
        <v>556</v>
      </c>
      <c r="B4" s="182" t="s">
        <v>107</v>
      </c>
      <c r="C4" s="182" t="s">
        <v>105</v>
      </c>
      <c r="D4" s="182"/>
      <c r="E4" s="182"/>
      <c r="F4" s="234"/>
      <c r="G4" s="289"/>
      <c r="H4" s="182" t="s">
        <v>106</v>
      </c>
      <c r="I4" s="182" t="s">
        <v>359</v>
      </c>
    </row>
    <row r="5" spans="1:9" x14ac:dyDescent="0.25">
      <c r="A5" s="183" t="s">
        <v>527</v>
      </c>
      <c r="B5" s="182" t="s">
        <v>292</v>
      </c>
      <c r="C5" s="182" t="s">
        <v>117</v>
      </c>
      <c r="D5" s="182"/>
      <c r="E5" s="182" t="s">
        <v>558</v>
      </c>
      <c r="F5" s="234"/>
      <c r="G5" s="289"/>
      <c r="H5" s="182" t="s">
        <v>106</v>
      </c>
      <c r="I5" s="182" t="s">
        <v>134</v>
      </c>
    </row>
    <row r="6" spans="1:9" x14ac:dyDescent="0.25">
      <c r="A6" s="183" t="s">
        <v>527</v>
      </c>
      <c r="B6" s="182" t="s">
        <v>108</v>
      </c>
      <c r="C6" s="182" t="s">
        <v>132</v>
      </c>
      <c r="D6" s="182"/>
      <c r="E6" s="182" t="s">
        <v>558</v>
      </c>
      <c r="F6" s="234"/>
      <c r="G6" s="289"/>
      <c r="H6" s="182" t="s">
        <v>106</v>
      </c>
      <c r="I6" s="182" t="s">
        <v>134</v>
      </c>
    </row>
    <row r="7" spans="1:9" x14ac:dyDescent="0.25">
      <c r="A7" s="183" t="s">
        <v>557</v>
      </c>
      <c r="B7" s="182" t="s">
        <v>118</v>
      </c>
      <c r="C7" s="182" t="s">
        <v>105</v>
      </c>
      <c r="D7" s="182"/>
      <c r="E7" s="182" t="s">
        <v>558</v>
      </c>
      <c r="F7" s="234"/>
      <c r="G7" s="289"/>
      <c r="H7" s="182" t="s">
        <v>106</v>
      </c>
      <c r="I7" s="182" t="s">
        <v>134</v>
      </c>
    </row>
    <row r="8" spans="1:9" x14ac:dyDescent="0.25">
      <c r="A8" s="183" t="s">
        <v>527</v>
      </c>
      <c r="B8" s="182" t="s">
        <v>127</v>
      </c>
      <c r="C8" s="182" t="s">
        <v>131</v>
      </c>
      <c r="D8" s="182"/>
      <c r="E8" s="182" t="s">
        <v>558</v>
      </c>
      <c r="F8" s="234"/>
      <c r="G8" s="289"/>
      <c r="H8" s="182" t="s">
        <v>106</v>
      </c>
      <c r="I8" s="182" t="s">
        <v>296</v>
      </c>
    </row>
    <row r="9" spans="1:9" x14ac:dyDescent="0.25">
      <c r="A9" s="183" t="s">
        <v>527</v>
      </c>
      <c r="B9" s="182" t="s">
        <v>308</v>
      </c>
      <c r="C9" s="182" t="s">
        <v>305</v>
      </c>
      <c r="D9" s="182"/>
      <c r="E9" s="183" t="s">
        <v>558</v>
      </c>
      <c r="F9" s="234"/>
      <c r="G9" s="289"/>
      <c r="H9" s="182" t="s">
        <v>106</v>
      </c>
      <c r="I9" s="182" t="s">
        <v>134</v>
      </c>
    </row>
    <row r="10" spans="1:9" x14ac:dyDescent="0.25">
      <c r="A10" s="183" t="s">
        <v>527</v>
      </c>
      <c r="B10" s="182" t="s">
        <v>128</v>
      </c>
      <c r="C10" s="182" t="s">
        <v>304</v>
      </c>
      <c r="D10" s="182"/>
      <c r="E10" s="183" t="s">
        <v>558</v>
      </c>
      <c r="F10" s="234"/>
      <c r="G10" s="289"/>
      <c r="H10" s="182" t="s">
        <v>106</v>
      </c>
      <c r="I10" s="182" t="s">
        <v>134</v>
      </c>
    </row>
    <row r="11" spans="1:9" ht="16.899999999999999" customHeight="1" x14ac:dyDescent="0.25">
      <c r="A11" s="182" t="s">
        <v>527</v>
      </c>
      <c r="B11" s="248" t="s">
        <v>537</v>
      </c>
      <c r="C11" s="249" t="s">
        <v>305</v>
      </c>
      <c r="D11" s="248"/>
      <c r="E11" s="183" t="s">
        <v>558</v>
      </c>
      <c r="F11" s="235"/>
      <c r="G11" s="290"/>
      <c r="H11" s="248" t="s">
        <v>106</v>
      </c>
      <c r="I11" s="248" t="s">
        <v>450</v>
      </c>
    </row>
    <row r="12" spans="1:9" ht="17.25" customHeight="1" x14ac:dyDescent="0.25">
      <c r="A12" s="182" t="s">
        <v>529</v>
      </c>
      <c r="B12" s="182" t="s">
        <v>294</v>
      </c>
      <c r="C12" s="182" t="s">
        <v>306</v>
      </c>
      <c r="D12" s="182"/>
      <c r="E12" s="183" t="s">
        <v>558</v>
      </c>
      <c r="F12" s="234"/>
      <c r="G12" s="289"/>
      <c r="H12" s="182" t="s">
        <v>106</v>
      </c>
      <c r="I12" s="182" t="s">
        <v>388</v>
      </c>
    </row>
    <row r="13" spans="1:9" x14ac:dyDescent="0.25">
      <c r="A13" s="182" t="s">
        <v>527</v>
      </c>
      <c r="B13" s="182" t="s">
        <v>563</v>
      </c>
      <c r="C13" s="182" t="s">
        <v>304</v>
      </c>
      <c r="D13" s="182"/>
      <c r="E13" s="236" t="s">
        <v>558</v>
      </c>
      <c r="F13" s="234" t="s">
        <v>134</v>
      </c>
      <c r="G13" s="291"/>
      <c r="H13" s="250" t="s">
        <v>106</v>
      </c>
      <c r="I13" s="182" t="s">
        <v>567</v>
      </c>
    </row>
    <row r="14" spans="1:9" x14ac:dyDescent="0.25">
      <c r="A14" s="182" t="s">
        <v>527</v>
      </c>
      <c r="B14" s="182" t="s">
        <v>564</v>
      </c>
      <c r="C14" s="182" t="s">
        <v>304</v>
      </c>
      <c r="D14" s="182"/>
      <c r="E14" s="237" t="s">
        <v>558</v>
      </c>
      <c r="F14" s="234" t="s">
        <v>134</v>
      </c>
      <c r="G14" s="291"/>
      <c r="H14" s="250" t="s">
        <v>106</v>
      </c>
      <c r="I14" s="182" t="s">
        <v>571</v>
      </c>
    </row>
    <row r="15" spans="1:9" x14ac:dyDescent="0.25">
      <c r="A15" s="182" t="s">
        <v>527</v>
      </c>
      <c r="B15" s="248" t="s">
        <v>389</v>
      </c>
      <c r="C15" s="248" t="s">
        <v>306</v>
      </c>
      <c r="D15" s="248"/>
      <c r="E15" s="238" t="s">
        <v>558</v>
      </c>
      <c r="F15" s="235"/>
      <c r="G15" s="292"/>
      <c r="H15" s="251" t="s">
        <v>106</v>
      </c>
      <c r="I15" s="182" t="s">
        <v>569</v>
      </c>
    </row>
    <row r="16" spans="1:9" x14ac:dyDescent="0.25">
      <c r="A16" s="182" t="s">
        <v>527</v>
      </c>
      <c r="B16" s="248" t="s">
        <v>390</v>
      </c>
      <c r="C16" s="182" t="s">
        <v>304</v>
      </c>
      <c r="D16" s="248"/>
      <c r="E16" s="239" t="s">
        <v>558</v>
      </c>
      <c r="F16" s="235" t="s">
        <v>134</v>
      </c>
      <c r="G16" s="292"/>
      <c r="H16" s="251" t="s">
        <v>106</v>
      </c>
      <c r="I16" s="182" t="s">
        <v>570</v>
      </c>
    </row>
    <row r="17" spans="1:9" x14ac:dyDescent="0.25">
      <c r="A17" s="182" t="s">
        <v>529</v>
      </c>
      <c r="B17" s="248" t="s">
        <v>423</v>
      </c>
      <c r="C17" s="248" t="s">
        <v>306</v>
      </c>
      <c r="D17" s="248"/>
      <c r="E17" s="239" t="s">
        <v>558</v>
      </c>
      <c r="F17" s="235"/>
      <c r="G17" s="290"/>
      <c r="H17" s="248" t="s">
        <v>106</v>
      </c>
      <c r="I17" s="248" t="s">
        <v>572</v>
      </c>
    </row>
    <row r="18" spans="1:9" ht="30.6" customHeight="1" x14ac:dyDescent="0.25">
      <c r="A18" s="182" t="s">
        <v>529</v>
      </c>
      <c r="B18" s="249" t="s">
        <v>525</v>
      </c>
      <c r="C18" s="248" t="s">
        <v>306</v>
      </c>
      <c r="D18" s="248"/>
      <c r="E18" s="239" t="s">
        <v>558</v>
      </c>
      <c r="F18" s="235"/>
      <c r="G18" s="290"/>
      <c r="H18" s="248" t="s">
        <v>106</v>
      </c>
      <c r="I18" s="182" t="s">
        <v>576</v>
      </c>
    </row>
    <row r="19" spans="1:9" s="118" customFormat="1" ht="30" x14ac:dyDescent="0.25">
      <c r="A19" s="263" t="s">
        <v>530</v>
      </c>
      <c r="B19" s="183" t="s">
        <v>133</v>
      </c>
      <c r="C19" s="183" t="s">
        <v>306</v>
      </c>
      <c r="D19" s="183"/>
      <c r="E19" s="263" t="s">
        <v>574</v>
      </c>
      <c r="F19" s="264" t="s">
        <v>134</v>
      </c>
      <c r="G19" s="293"/>
      <c r="H19" s="273" t="s">
        <v>769</v>
      </c>
      <c r="I19" s="183" t="s">
        <v>566</v>
      </c>
    </row>
    <row r="20" spans="1:9" s="118" customFormat="1" ht="30" x14ac:dyDescent="0.25">
      <c r="A20" s="263" t="s">
        <v>759</v>
      </c>
      <c r="B20" s="183" t="s">
        <v>565</v>
      </c>
      <c r="C20" s="183" t="s">
        <v>304</v>
      </c>
      <c r="D20" s="183"/>
      <c r="E20" s="183" t="s">
        <v>558</v>
      </c>
      <c r="F20" s="266" t="s">
        <v>737</v>
      </c>
      <c r="G20" s="294"/>
      <c r="H20" s="183" t="s">
        <v>106</v>
      </c>
      <c r="I20" s="263" t="s">
        <v>770</v>
      </c>
    </row>
    <row r="21" spans="1:9" ht="30" x14ac:dyDescent="0.25">
      <c r="A21" s="183" t="s">
        <v>528</v>
      </c>
      <c r="B21" s="183" t="s">
        <v>538</v>
      </c>
      <c r="C21" s="183" t="s">
        <v>306</v>
      </c>
      <c r="D21" s="183"/>
      <c r="E21" s="183" t="s">
        <v>558</v>
      </c>
      <c r="F21" s="246" t="s">
        <v>736</v>
      </c>
      <c r="G21" s="295"/>
      <c r="H21" s="183" t="s">
        <v>106</v>
      </c>
      <c r="I21" s="279" t="s">
        <v>847</v>
      </c>
    </row>
    <row r="22" spans="1:9" ht="45" x14ac:dyDescent="0.25">
      <c r="A22" s="263" t="s">
        <v>692</v>
      </c>
      <c r="B22" s="183" t="s">
        <v>757</v>
      </c>
      <c r="C22" s="183" t="s">
        <v>753</v>
      </c>
      <c r="D22" s="183"/>
      <c r="E22" s="183" t="s">
        <v>558</v>
      </c>
      <c r="F22" s="246" t="s">
        <v>735</v>
      </c>
      <c r="G22" s="295"/>
      <c r="H22" s="183" t="s">
        <v>106</v>
      </c>
      <c r="I22" s="263" t="s">
        <v>848</v>
      </c>
    </row>
    <row r="23" spans="1:9" x14ac:dyDescent="0.25">
      <c r="A23" s="183" t="s">
        <v>527</v>
      </c>
      <c r="B23" s="183" t="s">
        <v>698</v>
      </c>
      <c r="C23" s="183" t="s">
        <v>548</v>
      </c>
      <c r="D23" s="183"/>
      <c r="E23" s="183" t="s">
        <v>558</v>
      </c>
      <c r="F23" s="246" t="s">
        <v>734</v>
      </c>
      <c r="G23" s="295"/>
      <c r="H23" s="183" t="s">
        <v>106</v>
      </c>
      <c r="I23" s="263" t="s">
        <v>849</v>
      </c>
    </row>
    <row r="24" spans="1:9" s="58" customFormat="1" ht="30" x14ac:dyDescent="0.25">
      <c r="A24" s="263" t="s">
        <v>535</v>
      </c>
      <c r="B24" s="183" t="s">
        <v>288</v>
      </c>
      <c r="C24" s="183" t="s">
        <v>304</v>
      </c>
      <c r="D24" s="183"/>
      <c r="E24" s="183" t="s">
        <v>558</v>
      </c>
      <c r="F24" s="266" t="s">
        <v>789</v>
      </c>
      <c r="G24" s="294"/>
      <c r="H24" s="183" t="s">
        <v>106</v>
      </c>
      <c r="I24" s="263" t="s">
        <v>783</v>
      </c>
    </row>
    <row r="25" spans="1:9" ht="14.45" customHeight="1" x14ac:dyDescent="0.25">
      <c r="A25" s="182" t="s">
        <v>527</v>
      </c>
      <c r="B25" s="182" t="s">
        <v>756</v>
      </c>
      <c r="C25" s="182" t="s">
        <v>304</v>
      </c>
      <c r="D25" s="182"/>
      <c r="E25" s="183" t="s">
        <v>558</v>
      </c>
      <c r="F25" s="266" t="s">
        <v>784</v>
      </c>
      <c r="G25" s="311">
        <v>2021</v>
      </c>
      <c r="H25" s="277" t="s">
        <v>106</v>
      </c>
      <c r="I25" s="263" t="s">
        <v>785</v>
      </c>
    </row>
    <row r="26" spans="1:9" ht="14.45" customHeight="1" x14ac:dyDescent="0.25">
      <c r="A26" s="182" t="s">
        <v>527</v>
      </c>
      <c r="B26" s="244" t="s">
        <v>531</v>
      </c>
      <c r="C26" s="182" t="s">
        <v>495</v>
      </c>
      <c r="D26" s="183"/>
      <c r="E26" s="183" t="s">
        <v>558</v>
      </c>
      <c r="F26" s="266" t="s">
        <v>775</v>
      </c>
      <c r="G26" s="294">
        <v>2018</v>
      </c>
      <c r="H26" s="183" t="s">
        <v>106</v>
      </c>
      <c r="I26" s="183" t="s">
        <v>869</v>
      </c>
    </row>
    <row r="27" spans="1:9" ht="14.45" customHeight="1" x14ac:dyDescent="0.25">
      <c r="A27" s="307" t="s">
        <v>527</v>
      </c>
      <c r="B27" s="308" t="s">
        <v>790</v>
      </c>
      <c r="C27" s="308" t="s">
        <v>304</v>
      </c>
      <c r="D27" s="308"/>
      <c r="E27" s="183" t="s">
        <v>558</v>
      </c>
      <c r="F27" s="309">
        <v>975537</v>
      </c>
      <c r="G27" s="310">
        <v>2022</v>
      </c>
      <c r="H27" s="308" t="s">
        <v>106</v>
      </c>
      <c r="I27" s="301"/>
    </row>
    <row r="28" spans="1:9" ht="14.45" customHeight="1" x14ac:dyDescent="0.25">
      <c r="A28" s="316" t="s">
        <v>527</v>
      </c>
      <c r="B28" s="313" t="s">
        <v>791</v>
      </c>
      <c r="C28" s="313" t="s">
        <v>304</v>
      </c>
      <c r="D28" s="313"/>
      <c r="E28" s="182" t="s">
        <v>558</v>
      </c>
      <c r="F28" s="314">
        <v>348470</v>
      </c>
      <c r="G28" s="315">
        <v>2022</v>
      </c>
      <c r="H28" s="313" t="s">
        <v>106</v>
      </c>
      <c r="I28" s="317"/>
    </row>
    <row r="29" spans="1:9" ht="14.45" customHeight="1" x14ac:dyDescent="0.25">
      <c r="A29" s="182" t="s">
        <v>529</v>
      </c>
      <c r="B29" s="320" t="s">
        <v>577</v>
      </c>
      <c r="C29" s="182" t="s">
        <v>304</v>
      </c>
      <c r="D29" s="182"/>
      <c r="E29" s="182" t="s">
        <v>558</v>
      </c>
      <c r="F29" s="321" t="s">
        <v>850</v>
      </c>
      <c r="G29" s="289">
        <v>2018</v>
      </c>
      <c r="H29" s="182" t="s">
        <v>106</v>
      </c>
      <c r="I29" s="240" t="s">
        <v>873</v>
      </c>
    </row>
    <row r="30" spans="1:9" ht="14.45" customHeight="1" x14ac:dyDescent="0.25">
      <c r="A30" s="182" t="s">
        <v>527</v>
      </c>
      <c r="B30" s="182" t="s">
        <v>853</v>
      </c>
      <c r="C30" s="182" t="s">
        <v>495</v>
      </c>
      <c r="D30" s="182"/>
      <c r="E30" s="182" t="s">
        <v>558</v>
      </c>
      <c r="F30" s="321" t="s">
        <v>851</v>
      </c>
      <c r="G30" s="289">
        <v>2017</v>
      </c>
      <c r="H30" s="182" t="s">
        <v>106</v>
      </c>
      <c r="I30" s="240" t="s">
        <v>874</v>
      </c>
    </row>
    <row r="31" spans="1:9" x14ac:dyDescent="0.25">
      <c r="A31" s="182" t="s">
        <v>528</v>
      </c>
      <c r="B31" s="248" t="s">
        <v>553</v>
      </c>
      <c r="C31" s="248" t="s">
        <v>306</v>
      </c>
      <c r="D31" s="248"/>
      <c r="E31" s="182" t="s">
        <v>558</v>
      </c>
      <c r="F31" s="321" t="s">
        <v>840</v>
      </c>
      <c r="G31" s="289">
        <v>2018</v>
      </c>
      <c r="H31" s="182" t="s">
        <v>106</v>
      </c>
      <c r="I31" s="249" t="s">
        <v>875</v>
      </c>
    </row>
    <row r="32" spans="1:9" ht="14.45" customHeight="1" x14ac:dyDescent="0.25">
      <c r="A32" s="182" t="s">
        <v>755</v>
      </c>
      <c r="B32" s="182" t="s">
        <v>552</v>
      </c>
      <c r="C32" s="182" t="s">
        <v>304</v>
      </c>
      <c r="D32" s="182"/>
      <c r="E32" s="182" t="s">
        <v>558</v>
      </c>
      <c r="F32" s="321" t="s">
        <v>782</v>
      </c>
      <c r="G32" s="289">
        <v>2021</v>
      </c>
      <c r="H32" s="182" t="s">
        <v>106</v>
      </c>
      <c r="I32" s="240" t="s">
        <v>876</v>
      </c>
    </row>
    <row r="33" spans="1:9" ht="14.45" customHeight="1" x14ac:dyDescent="0.25">
      <c r="A33" s="182" t="s">
        <v>527</v>
      </c>
      <c r="B33" s="182" t="s">
        <v>870</v>
      </c>
      <c r="C33" s="182" t="s">
        <v>304</v>
      </c>
      <c r="D33" s="182"/>
      <c r="E33" s="182" t="s">
        <v>558</v>
      </c>
      <c r="F33" s="321" t="s">
        <v>855</v>
      </c>
      <c r="G33" s="315">
        <v>2019</v>
      </c>
      <c r="H33" s="182" t="s">
        <v>106</v>
      </c>
      <c r="I33" s="182" t="s">
        <v>877</v>
      </c>
    </row>
    <row r="34" spans="1:9" ht="14.45" customHeight="1" x14ac:dyDescent="0.25">
      <c r="A34" s="302" t="s">
        <v>527</v>
      </c>
      <c r="B34" s="302" t="s">
        <v>779</v>
      </c>
      <c r="C34" s="302" t="s">
        <v>304</v>
      </c>
      <c r="D34" s="302"/>
      <c r="E34" s="269" t="s">
        <v>558</v>
      </c>
      <c r="F34" s="278" t="s">
        <v>872</v>
      </c>
      <c r="G34" s="298">
        <v>2022</v>
      </c>
      <c r="H34" s="269" t="s">
        <v>106</v>
      </c>
      <c r="I34" s="269" t="s">
        <v>878</v>
      </c>
    </row>
    <row r="35" spans="1:9" ht="14.45" customHeight="1" x14ac:dyDescent="0.25">
      <c r="A35" s="269" t="s">
        <v>527</v>
      </c>
      <c r="B35" s="269" t="s">
        <v>746</v>
      </c>
      <c r="C35" s="269" t="s">
        <v>304</v>
      </c>
      <c r="D35" s="269"/>
      <c r="E35" s="269" t="s">
        <v>558</v>
      </c>
      <c r="F35" s="278" t="s">
        <v>871</v>
      </c>
      <c r="G35" s="298">
        <v>2020</v>
      </c>
      <c r="H35" s="269" t="s">
        <v>106</v>
      </c>
      <c r="I35" s="268" t="s">
        <v>879</v>
      </c>
    </row>
    <row r="36" spans="1:9" ht="14.45" customHeight="1" x14ac:dyDescent="0.25">
      <c r="A36" s="302" t="s">
        <v>529</v>
      </c>
      <c r="B36" s="302" t="s">
        <v>795</v>
      </c>
      <c r="C36" s="302" t="s">
        <v>304</v>
      </c>
      <c r="D36" s="302"/>
      <c r="E36" s="302" t="s">
        <v>558</v>
      </c>
      <c r="F36" s="303" t="s">
        <v>882</v>
      </c>
      <c r="G36" s="298">
        <v>2022</v>
      </c>
      <c r="H36" s="302" t="s">
        <v>106</v>
      </c>
      <c r="I36" s="301" t="s">
        <v>880</v>
      </c>
    </row>
    <row r="37" spans="1:9" ht="14.45" customHeight="1" x14ac:dyDescent="0.25">
      <c r="A37" s="269" t="s">
        <v>527</v>
      </c>
      <c r="B37" s="330" t="s">
        <v>542</v>
      </c>
      <c r="C37" s="269" t="s">
        <v>304</v>
      </c>
      <c r="D37" s="331"/>
      <c r="E37" s="331" t="s">
        <v>558</v>
      </c>
      <c r="F37" s="332">
        <v>500000</v>
      </c>
      <c r="G37" s="298">
        <v>2018</v>
      </c>
      <c r="H37" s="269" t="s">
        <v>106</v>
      </c>
      <c r="I37" s="331"/>
    </row>
    <row r="38" spans="1:9" ht="14.45" customHeight="1" x14ac:dyDescent="0.25">
      <c r="A38" s="215"/>
      <c r="B38" s="327"/>
      <c r="C38" s="328"/>
      <c r="D38" s="328"/>
      <c r="E38" s="328"/>
      <c r="F38" s="275"/>
      <c r="G38" s="329"/>
      <c r="H38" s="328"/>
      <c r="I38" s="328"/>
    </row>
    <row r="39" spans="1:9" x14ac:dyDescent="0.25">
      <c r="A39" s="252" t="s">
        <v>559</v>
      </c>
      <c r="B39" s="215"/>
      <c r="C39" s="215"/>
      <c r="D39" s="215"/>
      <c r="E39" s="215"/>
      <c r="F39" s="276"/>
      <c r="G39" s="296"/>
      <c r="H39" s="215"/>
      <c r="I39" s="215"/>
    </row>
    <row r="40" spans="1:9" x14ac:dyDescent="0.25">
      <c r="A40" s="269" t="s">
        <v>527</v>
      </c>
      <c r="B40" s="269" t="s">
        <v>852</v>
      </c>
      <c r="C40" s="269" t="s">
        <v>495</v>
      </c>
      <c r="D40" s="269"/>
      <c r="E40" s="268" t="s">
        <v>881</v>
      </c>
      <c r="F40" s="326" t="s">
        <v>885</v>
      </c>
      <c r="G40" s="298">
        <v>2017</v>
      </c>
      <c r="H40" s="269" t="s">
        <v>106</v>
      </c>
      <c r="I40" s="268" t="s">
        <v>883</v>
      </c>
    </row>
    <row r="41" spans="1:9" x14ac:dyDescent="0.25">
      <c r="A41" s="269" t="s">
        <v>528</v>
      </c>
      <c r="B41" s="330" t="s">
        <v>536</v>
      </c>
      <c r="C41" s="269" t="s">
        <v>306</v>
      </c>
      <c r="D41" s="331"/>
      <c r="E41" s="331" t="s">
        <v>884</v>
      </c>
      <c r="F41" s="332" t="s">
        <v>886</v>
      </c>
      <c r="G41" s="298">
        <v>2018</v>
      </c>
      <c r="H41" s="269" t="s">
        <v>106</v>
      </c>
      <c r="I41" s="333" t="s">
        <v>887</v>
      </c>
    </row>
    <row r="43" spans="1:9" x14ac:dyDescent="0.25">
      <c r="A43" s="253" t="s">
        <v>560</v>
      </c>
      <c r="B43" s="215"/>
      <c r="C43" s="215"/>
      <c r="D43" s="215"/>
      <c r="E43" s="215"/>
      <c r="F43" s="215"/>
      <c r="G43" s="297"/>
      <c r="H43" s="215"/>
      <c r="I43" s="254"/>
    </row>
    <row r="44" spans="1:9" ht="46.15" customHeight="1" x14ac:dyDescent="0.25">
      <c r="A44" s="183" t="s">
        <v>527</v>
      </c>
      <c r="B44" s="182" t="s">
        <v>126</v>
      </c>
      <c r="C44" s="182" t="s">
        <v>117</v>
      </c>
      <c r="D44" s="182"/>
      <c r="E44" s="183" t="s">
        <v>777</v>
      </c>
      <c r="F44" s="266">
        <v>2800000</v>
      </c>
      <c r="G44" s="293"/>
      <c r="H44" s="265" t="s">
        <v>106</v>
      </c>
      <c r="I44" s="263" t="s">
        <v>854</v>
      </c>
    </row>
    <row r="45" spans="1:9" x14ac:dyDescent="0.25">
      <c r="A45" s="182" t="s">
        <v>529</v>
      </c>
      <c r="B45" s="248" t="s">
        <v>426</v>
      </c>
      <c r="C45" s="248" t="s">
        <v>306</v>
      </c>
      <c r="D45" s="248"/>
      <c r="E45" s="242" t="s">
        <v>776</v>
      </c>
      <c r="F45" s="288"/>
      <c r="G45" s="295"/>
      <c r="H45" s="242" t="s">
        <v>290</v>
      </c>
      <c r="I45" s="242" t="s">
        <v>771</v>
      </c>
    </row>
    <row r="46" spans="1:9" x14ac:dyDescent="0.25">
      <c r="B46" s="215"/>
      <c r="C46" s="215"/>
      <c r="D46" s="215"/>
      <c r="E46" s="215"/>
      <c r="F46" s="215"/>
      <c r="G46" s="297"/>
      <c r="H46" s="215"/>
      <c r="I46" s="215"/>
    </row>
    <row r="47" spans="1:9" x14ac:dyDescent="0.25">
      <c r="A47" s="255" t="s">
        <v>690</v>
      </c>
      <c r="B47" s="215"/>
      <c r="C47" s="215"/>
      <c r="D47" s="215"/>
      <c r="E47" s="215"/>
      <c r="F47" s="215"/>
      <c r="G47" s="297"/>
      <c r="H47" s="215"/>
      <c r="I47" s="215"/>
    </row>
    <row r="49" spans="1:9" x14ac:dyDescent="0.25">
      <c r="A49" s="182" t="s">
        <v>529</v>
      </c>
      <c r="B49" s="248" t="s">
        <v>575</v>
      </c>
      <c r="C49" s="248" t="s">
        <v>306</v>
      </c>
      <c r="D49" s="248"/>
      <c r="E49" s="242" t="s">
        <v>777</v>
      </c>
      <c r="F49" s="246">
        <v>1750000</v>
      </c>
      <c r="G49" s="322">
        <v>2017</v>
      </c>
      <c r="H49" s="242" t="s">
        <v>106</v>
      </c>
      <c r="I49" s="248" t="s">
        <v>451</v>
      </c>
    </row>
    <row r="50" spans="1:9" ht="30" x14ac:dyDescent="0.25">
      <c r="A50" s="182" t="s">
        <v>529</v>
      </c>
      <c r="B50" s="249" t="s">
        <v>452</v>
      </c>
      <c r="C50" s="248" t="s">
        <v>306</v>
      </c>
      <c r="D50" s="248"/>
      <c r="E50" s="242" t="s">
        <v>777</v>
      </c>
      <c r="F50" s="246">
        <v>1000000</v>
      </c>
      <c r="G50" s="322">
        <v>2017</v>
      </c>
      <c r="H50" s="242" t="s">
        <v>106</v>
      </c>
      <c r="I50" s="248" t="s">
        <v>551</v>
      </c>
    </row>
    <row r="51" spans="1:9" ht="27" customHeight="1" x14ac:dyDescent="0.25">
      <c r="A51" s="182" t="s">
        <v>529</v>
      </c>
      <c r="B51" s="244" t="s">
        <v>526</v>
      </c>
      <c r="C51" s="183" t="s">
        <v>304</v>
      </c>
      <c r="D51" s="242"/>
      <c r="E51" s="242" t="s">
        <v>777</v>
      </c>
      <c r="F51" s="288"/>
      <c r="G51" s="322">
        <v>2017</v>
      </c>
      <c r="H51" s="242" t="s">
        <v>106</v>
      </c>
      <c r="I51" s="248" t="s">
        <v>697</v>
      </c>
    </row>
    <row r="52" spans="1:9" x14ac:dyDescent="0.25">
      <c r="A52" s="182" t="s">
        <v>527</v>
      </c>
      <c r="B52" s="182" t="s">
        <v>291</v>
      </c>
      <c r="C52" s="182" t="s">
        <v>132</v>
      </c>
      <c r="D52" s="182"/>
      <c r="E52" s="183">
        <v>2025</v>
      </c>
      <c r="F52" s="264"/>
      <c r="G52" s="322">
        <v>2017</v>
      </c>
      <c r="H52" s="183" t="s">
        <v>106</v>
      </c>
      <c r="I52" s="182" t="s">
        <v>453</v>
      </c>
    </row>
    <row r="53" spans="1:9" x14ac:dyDescent="0.25">
      <c r="A53" s="182" t="s">
        <v>527</v>
      </c>
      <c r="B53" s="182" t="s">
        <v>295</v>
      </c>
      <c r="C53" s="182" t="s">
        <v>304</v>
      </c>
      <c r="D53" s="182"/>
      <c r="E53" s="183" t="s">
        <v>135</v>
      </c>
      <c r="F53" s="264"/>
      <c r="G53" s="322">
        <v>2017</v>
      </c>
      <c r="H53" s="183" t="s">
        <v>106</v>
      </c>
      <c r="I53" s="182" t="s">
        <v>455</v>
      </c>
    </row>
    <row r="54" spans="1:9" x14ac:dyDescent="0.25">
      <c r="A54" s="182" t="s">
        <v>527</v>
      </c>
      <c r="B54" s="182" t="s">
        <v>164</v>
      </c>
      <c r="C54" s="182" t="s">
        <v>117</v>
      </c>
      <c r="D54" s="182"/>
      <c r="E54" s="183" t="s">
        <v>135</v>
      </c>
      <c r="F54" s="264"/>
      <c r="G54" s="322">
        <v>2017</v>
      </c>
      <c r="H54" s="183" t="s">
        <v>106</v>
      </c>
      <c r="I54" s="183" t="s">
        <v>772</v>
      </c>
    </row>
    <row r="55" spans="1:9" x14ac:dyDescent="0.25">
      <c r="A55" s="182" t="s">
        <v>527</v>
      </c>
      <c r="B55" s="182" t="s">
        <v>205</v>
      </c>
      <c r="C55" s="182" t="s">
        <v>105</v>
      </c>
      <c r="D55" s="182"/>
      <c r="E55" s="183" t="s">
        <v>135</v>
      </c>
      <c r="F55" s="264"/>
      <c r="G55" s="322">
        <v>2017</v>
      </c>
      <c r="H55" s="183" t="s">
        <v>106</v>
      </c>
      <c r="I55" s="182" t="s">
        <v>684</v>
      </c>
    </row>
    <row r="56" spans="1:9" x14ac:dyDescent="0.25">
      <c r="A56" s="182" t="s">
        <v>527</v>
      </c>
      <c r="B56" s="182" t="s">
        <v>283</v>
      </c>
      <c r="C56" s="182" t="s">
        <v>132</v>
      </c>
      <c r="D56" s="182"/>
      <c r="E56" s="242" t="s">
        <v>777</v>
      </c>
      <c r="F56" s="264"/>
      <c r="G56" s="322">
        <v>2017</v>
      </c>
      <c r="H56" s="183" t="s">
        <v>106</v>
      </c>
      <c r="I56" s="182" t="s">
        <v>454</v>
      </c>
    </row>
    <row r="57" spans="1:9" x14ac:dyDescent="0.25">
      <c r="A57" s="182" t="s">
        <v>529</v>
      </c>
      <c r="B57" s="182" t="s">
        <v>129</v>
      </c>
      <c r="C57" s="182" t="s">
        <v>105</v>
      </c>
      <c r="D57" s="182"/>
      <c r="E57" s="183" t="s">
        <v>135</v>
      </c>
      <c r="F57" s="264"/>
      <c r="G57" s="322">
        <v>2017</v>
      </c>
      <c r="H57" s="183" t="s">
        <v>568</v>
      </c>
      <c r="I57" s="182" t="s">
        <v>134</v>
      </c>
    </row>
    <row r="58" spans="1:9" x14ac:dyDescent="0.25">
      <c r="A58" s="182" t="s">
        <v>529</v>
      </c>
      <c r="B58" s="182" t="s">
        <v>130</v>
      </c>
      <c r="C58" s="182" t="s">
        <v>105</v>
      </c>
      <c r="D58" s="182"/>
      <c r="E58" s="183" t="s">
        <v>135</v>
      </c>
      <c r="F58" s="264"/>
      <c r="G58" s="322">
        <v>2017</v>
      </c>
      <c r="H58" s="183" t="s">
        <v>568</v>
      </c>
      <c r="I58" s="182" t="s">
        <v>134</v>
      </c>
    </row>
    <row r="59" spans="1:9" x14ac:dyDescent="0.25">
      <c r="A59" s="182" t="s">
        <v>191</v>
      </c>
      <c r="B59" s="182" t="s">
        <v>289</v>
      </c>
      <c r="C59" s="182" t="s">
        <v>290</v>
      </c>
      <c r="D59" s="182"/>
      <c r="E59" s="182" t="s">
        <v>290</v>
      </c>
      <c r="F59" s="234"/>
      <c r="G59" s="322">
        <v>2017</v>
      </c>
      <c r="H59" s="182" t="s">
        <v>106</v>
      </c>
      <c r="I59" s="182" t="s">
        <v>688</v>
      </c>
    </row>
    <row r="60" spans="1:9" x14ac:dyDescent="0.25">
      <c r="A60" s="215"/>
      <c r="B60" s="215"/>
      <c r="C60" s="215"/>
      <c r="D60" s="215"/>
      <c r="E60" s="215"/>
      <c r="F60" s="241"/>
      <c r="G60" s="323"/>
      <c r="H60" s="215"/>
      <c r="I60" s="215"/>
    </row>
    <row r="61" spans="1:9" x14ac:dyDescent="0.25">
      <c r="A61" s="215"/>
      <c r="B61" s="215"/>
      <c r="C61" s="215"/>
      <c r="D61" s="215"/>
      <c r="E61" s="215"/>
      <c r="F61" s="215"/>
      <c r="G61" s="324"/>
      <c r="H61" s="215"/>
      <c r="I61" s="215"/>
    </row>
    <row r="62" spans="1:9" x14ac:dyDescent="0.25">
      <c r="A62" s="256" t="s">
        <v>691</v>
      </c>
      <c r="B62" s="215"/>
      <c r="C62" s="215"/>
      <c r="D62" s="215"/>
      <c r="E62" s="215"/>
      <c r="F62" s="215"/>
      <c r="G62" s="324"/>
      <c r="H62" s="215"/>
      <c r="I62" s="215"/>
    </row>
    <row r="63" spans="1:9" ht="30" x14ac:dyDescent="0.25">
      <c r="A63" s="240" t="s">
        <v>535</v>
      </c>
      <c r="B63" s="183" t="s">
        <v>555</v>
      </c>
      <c r="C63" s="183" t="s">
        <v>670</v>
      </c>
      <c r="D63" s="183"/>
      <c r="E63" s="183" t="s">
        <v>778</v>
      </c>
      <c r="F63" s="267" t="s">
        <v>689</v>
      </c>
      <c r="G63" s="322">
        <v>2018</v>
      </c>
      <c r="H63" s="183" t="s">
        <v>106</v>
      </c>
      <c r="I63" s="183" t="s">
        <v>773</v>
      </c>
    </row>
    <row r="64" spans="1:9" x14ac:dyDescent="0.25">
      <c r="A64" s="183" t="s">
        <v>527</v>
      </c>
      <c r="B64" s="183" t="s">
        <v>561</v>
      </c>
      <c r="C64" s="183" t="s">
        <v>306</v>
      </c>
      <c r="D64" s="242"/>
      <c r="E64" s="242" t="s">
        <v>777</v>
      </c>
      <c r="F64" s="246">
        <v>500000</v>
      </c>
      <c r="G64" s="322">
        <v>2018</v>
      </c>
      <c r="H64" s="183" t="s">
        <v>106</v>
      </c>
      <c r="I64" s="263" t="s">
        <v>562</v>
      </c>
    </row>
    <row r="65" spans="1:9" ht="27" customHeight="1" x14ac:dyDescent="0.25">
      <c r="A65" s="182" t="s">
        <v>527</v>
      </c>
      <c r="B65" s="245" t="s">
        <v>541</v>
      </c>
      <c r="C65" s="183" t="s">
        <v>304</v>
      </c>
      <c r="D65" s="242"/>
      <c r="E65" s="242" t="s">
        <v>777</v>
      </c>
      <c r="F65" s="246">
        <v>1250000</v>
      </c>
      <c r="G65" s="322">
        <v>2018</v>
      </c>
      <c r="H65" s="183" t="s">
        <v>106</v>
      </c>
      <c r="I65" s="242"/>
    </row>
    <row r="66" spans="1:9" ht="27" customHeight="1" x14ac:dyDescent="0.25">
      <c r="A66" s="182" t="s">
        <v>528</v>
      </c>
      <c r="B66" s="245" t="s">
        <v>534</v>
      </c>
      <c r="C66" s="242" t="s">
        <v>306</v>
      </c>
      <c r="D66" s="242"/>
      <c r="E66" s="242" t="s">
        <v>777</v>
      </c>
      <c r="F66" s="246">
        <v>1500000</v>
      </c>
      <c r="G66" s="322">
        <v>2018</v>
      </c>
      <c r="H66" s="183" t="s">
        <v>106</v>
      </c>
      <c r="I66" s="263" t="s">
        <v>774</v>
      </c>
    </row>
    <row r="67" spans="1:9" ht="27" customHeight="1" x14ac:dyDescent="0.25">
      <c r="A67" s="182" t="s">
        <v>528</v>
      </c>
      <c r="B67" s="245" t="s">
        <v>543</v>
      </c>
      <c r="C67" s="183" t="s">
        <v>306</v>
      </c>
      <c r="D67" s="242"/>
      <c r="E67" s="242" t="s">
        <v>777</v>
      </c>
      <c r="F67" s="246">
        <v>500000</v>
      </c>
      <c r="G67" s="322">
        <v>2018</v>
      </c>
      <c r="H67" s="183" t="s">
        <v>106</v>
      </c>
      <c r="I67" s="242"/>
    </row>
    <row r="68" spans="1:9" ht="27" customHeight="1" x14ac:dyDescent="0.25">
      <c r="A68" s="182" t="s">
        <v>528</v>
      </c>
      <c r="B68" s="245" t="s">
        <v>547</v>
      </c>
      <c r="C68" s="183" t="s">
        <v>304</v>
      </c>
      <c r="D68" s="242"/>
      <c r="E68" s="242" t="s">
        <v>777</v>
      </c>
      <c r="F68" s="246">
        <v>1500000</v>
      </c>
      <c r="G68" s="322">
        <v>2018</v>
      </c>
      <c r="H68" s="183" t="s">
        <v>106</v>
      </c>
      <c r="I68" s="242"/>
    </row>
    <row r="69" spans="1:9" ht="27" customHeight="1" x14ac:dyDescent="0.25">
      <c r="A69" s="182" t="s">
        <v>529</v>
      </c>
      <c r="B69" s="245" t="s">
        <v>539</v>
      </c>
      <c r="C69" s="183" t="s">
        <v>306</v>
      </c>
      <c r="D69" s="242"/>
      <c r="E69" s="242" t="s">
        <v>842</v>
      </c>
      <c r="F69" s="246">
        <v>4500000</v>
      </c>
      <c r="G69" s="322">
        <v>2018</v>
      </c>
      <c r="H69" s="183" t="s">
        <v>106</v>
      </c>
      <c r="I69" s="248" t="s">
        <v>671</v>
      </c>
    </row>
    <row r="70" spans="1:9" ht="27" customHeight="1" x14ac:dyDescent="0.25">
      <c r="A70" s="182" t="s">
        <v>529</v>
      </c>
      <c r="B70" s="245" t="s">
        <v>544</v>
      </c>
      <c r="C70" s="183" t="s">
        <v>304</v>
      </c>
      <c r="D70" s="242"/>
      <c r="E70" s="242" t="s">
        <v>777</v>
      </c>
      <c r="F70" s="246">
        <v>3300000</v>
      </c>
      <c r="G70" s="322">
        <v>2018</v>
      </c>
      <c r="H70" s="183" t="s">
        <v>106</v>
      </c>
      <c r="I70" s="248"/>
    </row>
    <row r="71" spans="1:9" ht="27" customHeight="1" x14ac:dyDescent="0.25">
      <c r="A71" s="182" t="s">
        <v>529</v>
      </c>
      <c r="B71" s="245" t="s">
        <v>545</v>
      </c>
      <c r="C71" s="183" t="s">
        <v>306</v>
      </c>
      <c r="D71" s="242"/>
      <c r="E71" s="242" t="s">
        <v>777</v>
      </c>
      <c r="F71" s="246">
        <v>500000</v>
      </c>
      <c r="G71" s="322">
        <v>2018</v>
      </c>
      <c r="H71" s="183" t="s">
        <v>106</v>
      </c>
      <c r="I71" s="248"/>
    </row>
    <row r="72" spans="1:9" x14ac:dyDescent="0.25">
      <c r="A72" s="215"/>
      <c r="B72" s="215"/>
      <c r="C72" s="215"/>
      <c r="D72" s="215"/>
      <c r="E72" s="215"/>
      <c r="F72" s="215"/>
      <c r="G72" s="324"/>
      <c r="H72" s="215"/>
      <c r="I72" s="215"/>
    </row>
    <row r="73" spans="1:9" x14ac:dyDescent="0.25">
      <c r="A73" s="215"/>
      <c r="B73" s="215"/>
      <c r="C73" s="215"/>
      <c r="D73" s="215"/>
      <c r="E73" s="215"/>
      <c r="F73" s="215"/>
      <c r="G73" s="324"/>
      <c r="H73" s="215"/>
      <c r="I73" s="215"/>
    </row>
    <row r="74" spans="1:9" x14ac:dyDescent="0.25">
      <c r="A74" s="257" t="s">
        <v>739</v>
      </c>
      <c r="B74" s="215"/>
      <c r="C74" s="215"/>
      <c r="D74" s="215"/>
      <c r="E74" s="215"/>
      <c r="F74" s="215"/>
      <c r="G74" s="324"/>
      <c r="H74" s="215"/>
      <c r="I74" s="215"/>
    </row>
    <row r="75" spans="1:9" ht="30" x14ac:dyDescent="0.25">
      <c r="A75" s="182" t="s">
        <v>527</v>
      </c>
      <c r="B75" s="182" t="s">
        <v>110</v>
      </c>
      <c r="C75" s="182" t="s">
        <v>117</v>
      </c>
      <c r="D75" s="182"/>
      <c r="E75" s="183" t="s">
        <v>777</v>
      </c>
      <c r="F75" s="264" t="s">
        <v>699</v>
      </c>
      <c r="G75" s="322">
        <v>2019</v>
      </c>
      <c r="H75" s="183" t="s">
        <v>106</v>
      </c>
      <c r="I75" s="263" t="s">
        <v>841</v>
      </c>
    </row>
    <row r="76" spans="1:9" x14ac:dyDescent="0.25">
      <c r="A76" s="182" t="s">
        <v>527</v>
      </c>
      <c r="B76" s="248" t="s">
        <v>540</v>
      </c>
      <c r="C76" s="248" t="s">
        <v>495</v>
      </c>
      <c r="D76" s="248"/>
      <c r="E76" s="242" t="s">
        <v>777</v>
      </c>
      <c r="F76" s="243">
        <v>900000</v>
      </c>
      <c r="G76" s="322">
        <v>2019</v>
      </c>
      <c r="H76" s="248" t="s">
        <v>106</v>
      </c>
      <c r="I76" s="248"/>
    </row>
    <row r="77" spans="1:9" x14ac:dyDescent="0.25">
      <c r="A77" s="182" t="s">
        <v>527</v>
      </c>
      <c r="B77" s="182" t="s">
        <v>693</v>
      </c>
      <c r="C77" s="182" t="s">
        <v>304</v>
      </c>
      <c r="D77" s="182"/>
      <c r="E77" s="242" t="s">
        <v>777</v>
      </c>
      <c r="F77" s="182" t="s">
        <v>290</v>
      </c>
      <c r="G77" s="322">
        <v>2019</v>
      </c>
      <c r="H77" s="182" t="s">
        <v>106</v>
      </c>
      <c r="I77" s="182"/>
    </row>
    <row r="78" spans="1:9" ht="45" x14ac:dyDescent="0.25">
      <c r="A78" s="240" t="s">
        <v>696</v>
      </c>
      <c r="B78" s="182" t="s">
        <v>695</v>
      </c>
      <c r="C78" s="182" t="s">
        <v>495</v>
      </c>
      <c r="D78" s="182"/>
      <c r="E78" s="242" t="s">
        <v>777</v>
      </c>
      <c r="F78" s="182" t="s">
        <v>290</v>
      </c>
      <c r="G78" s="322">
        <v>2019</v>
      </c>
      <c r="H78" s="182" t="s">
        <v>106</v>
      </c>
      <c r="I78" s="182"/>
    </row>
    <row r="79" spans="1:9" x14ac:dyDescent="0.25">
      <c r="G79" s="325"/>
    </row>
    <row r="80" spans="1:9" x14ac:dyDescent="0.25">
      <c r="G80" s="325"/>
    </row>
    <row r="81" spans="1:9" x14ac:dyDescent="0.25">
      <c r="A81" s="262" t="s">
        <v>754</v>
      </c>
      <c r="B81" s="215"/>
      <c r="C81" s="215"/>
      <c r="D81" s="215"/>
      <c r="E81" s="215"/>
      <c r="F81" s="215"/>
      <c r="G81" s="324"/>
      <c r="H81" s="215"/>
      <c r="I81" s="215"/>
    </row>
    <row r="82" spans="1:9" x14ac:dyDescent="0.25">
      <c r="A82" s="182" t="s">
        <v>528</v>
      </c>
      <c r="B82" s="182" t="s">
        <v>745</v>
      </c>
      <c r="C82" s="182" t="s">
        <v>304</v>
      </c>
      <c r="D82" s="182"/>
      <c r="E82" s="183" t="s">
        <v>777</v>
      </c>
      <c r="F82" s="246">
        <v>2000000</v>
      </c>
      <c r="G82" s="322">
        <v>2020</v>
      </c>
      <c r="H82" s="182" t="s">
        <v>106</v>
      </c>
      <c r="I82" s="234" t="s">
        <v>738</v>
      </c>
    </row>
    <row r="83" spans="1:9" x14ac:dyDescent="0.25">
      <c r="A83" s="215"/>
      <c r="B83" s="215"/>
      <c r="C83" s="215"/>
      <c r="D83" s="215"/>
      <c r="E83" s="274"/>
      <c r="F83" s="275"/>
      <c r="G83" s="296"/>
      <c r="H83" s="215"/>
      <c r="I83" s="241"/>
    </row>
    <row r="84" spans="1:9" x14ac:dyDescent="0.25">
      <c r="G84" s="299"/>
    </row>
    <row r="85" spans="1:9" x14ac:dyDescent="0.25">
      <c r="A85" s="286" t="s">
        <v>768</v>
      </c>
      <c r="G85" s="299"/>
    </row>
    <row r="86" spans="1:9" x14ac:dyDescent="0.25">
      <c r="A86" s="312"/>
      <c r="G86" s="299"/>
    </row>
    <row r="87" spans="1:9" ht="14.45" customHeight="1" x14ac:dyDescent="0.25"/>
    <row r="88" spans="1:9" x14ac:dyDescent="0.25">
      <c r="A88" s="304" t="s">
        <v>857</v>
      </c>
    </row>
    <row r="89" spans="1:9" x14ac:dyDescent="0.25">
      <c r="A89" s="313" t="s">
        <v>527</v>
      </c>
      <c r="B89" s="313" t="s">
        <v>781</v>
      </c>
      <c r="C89" s="313" t="s">
        <v>304</v>
      </c>
      <c r="D89" s="313"/>
      <c r="E89" s="313" t="s">
        <v>780</v>
      </c>
      <c r="F89" s="314">
        <v>732660</v>
      </c>
      <c r="G89" s="315">
        <v>2022</v>
      </c>
      <c r="H89" s="316" t="s">
        <v>106</v>
      </c>
      <c r="I89" s="317" t="s">
        <v>134</v>
      </c>
    </row>
    <row r="90" spans="1:9" x14ac:dyDescent="0.25">
      <c r="A90" s="313" t="s">
        <v>527</v>
      </c>
      <c r="B90" s="313" t="s">
        <v>792</v>
      </c>
      <c r="C90" s="313" t="s">
        <v>304</v>
      </c>
      <c r="D90" s="313"/>
      <c r="E90" s="313" t="s">
        <v>810</v>
      </c>
      <c r="F90" s="314">
        <v>2500000</v>
      </c>
      <c r="G90" s="315">
        <v>2022</v>
      </c>
      <c r="H90" s="316" t="s">
        <v>106</v>
      </c>
      <c r="I90" s="317"/>
    </row>
    <row r="91" spans="1:9" ht="30" x14ac:dyDescent="0.25">
      <c r="A91" s="318" t="s">
        <v>830</v>
      </c>
      <c r="B91" s="313" t="s">
        <v>794</v>
      </c>
      <c r="C91" s="313" t="s">
        <v>304</v>
      </c>
      <c r="D91" s="313"/>
      <c r="E91" s="313" t="s">
        <v>780</v>
      </c>
      <c r="F91" s="314">
        <v>6000000</v>
      </c>
      <c r="G91" s="315">
        <v>2022</v>
      </c>
      <c r="H91" s="316" t="s">
        <v>106</v>
      </c>
      <c r="I91" s="317"/>
    </row>
    <row r="92" spans="1:9" ht="30" x14ac:dyDescent="0.25">
      <c r="A92" s="318" t="s">
        <v>830</v>
      </c>
      <c r="B92" s="313" t="s">
        <v>793</v>
      </c>
      <c r="C92" s="313" t="s">
        <v>304</v>
      </c>
      <c r="D92" s="313"/>
      <c r="E92" s="313" t="s">
        <v>810</v>
      </c>
      <c r="F92" s="314">
        <v>4300000</v>
      </c>
      <c r="G92" s="315">
        <v>2022</v>
      </c>
      <c r="H92" s="316" t="s">
        <v>106</v>
      </c>
      <c r="I92" s="317"/>
    </row>
    <row r="93" spans="1:9" x14ac:dyDescent="0.25">
      <c r="A93" s="313" t="s">
        <v>786</v>
      </c>
      <c r="B93" s="313" t="s">
        <v>787</v>
      </c>
      <c r="C93" s="313" t="s">
        <v>306</v>
      </c>
      <c r="D93" s="313"/>
      <c r="E93" s="313" t="s">
        <v>777</v>
      </c>
      <c r="F93" s="314" t="s">
        <v>843</v>
      </c>
      <c r="G93" s="315">
        <v>2022</v>
      </c>
      <c r="H93" s="316" t="s">
        <v>106</v>
      </c>
      <c r="I93" s="317" t="s">
        <v>812</v>
      </c>
    </row>
    <row r="94" spans="1:9" ht="30" x14ac:dyDescent="0.25">
      <c r="A94" s="313" t="s">
        <v>527</v>
      </c>
      <c r="B94" s="313" t="s">
        <v>788</v>
      </c>
      <c r="C94" s="313" t="s">
        <v>105</v>
      </c>
      <c r="D94" s="313" t="s">
        <v>831</v>
      </c>
      <c r="E94" s="313" t="s">
        <v>831</v>
      </c>
      <c r="F94" s="314" t="s">
        <v>831</v>
      </c>
      <c r="G94" s="315">
        <v>2022</v>
      </c>
      <c r="H94" s="316" t="s">
        <v>106</v>
      </c>
      <c r="I94" s="317" t="s">
        <v>866</v>
      </c>
    </row>
    <row r="97" spans="1:9" x14ac:dyDescent="0.25">
      <c r="A97" s="319" t="s">
        <v>868</v>
      </c>
    </row>
    <row r="98" spans="1:9" x14ac:dyDescent="0.25">
      <c r="A98" s="308" t="s">
        <v>527</v>
      </c>
      <c r="B98" s="302" t="s">
        <v>858</v>
      </c>
      <c r="C98" s="302" t="s">
        <v>304</v>
      </c>
      <c r="D98" s="302"/>
      <c r="E98" s="302" t="s">
        <v>881</v>
      </c>
      <c r="F98" s="334" t="s">
        <v>891</v>
      </c>
      <c r="G98" s="298">
        <v>2023</v>
      </c>
      <c r="H98" s="300" t="s">
        <v>106</v>
      </c>
      <c r="I98" s="301" t="s">
        <v>890</v>
      </c>
    </row>
    <row r="99" spans="1:9" x14ac:dyDescent="0.25">
      <c r="A99" s="308" t="s">
        <v>528</v>
      </c>
      <c r="B99" s="302" t="s">
        <v>859</v>
      </c>
      <c r="C99" s="302" t="s">
        <v>304</v>
      </c>
      <c r="D99" s="302"/>
      <c r="E99" s="302" t="s">
        <v>884</v>
      </c>
      <c r="F99" s="303">
        <v>2000000</v>
      </c>
      <c r="G99" s="298">
        <v>2023</v>
      </c>
      <c r="H99" s="300" t="s">
        <v>106</v>
      </c>
      <c r="I99" s="301" t="s">
        <v>889</v>
      </c>
    </row>
    <row r="100" spans="1:9" x14ac:dyDescent="0.25">
      <c r="A100" s="308" t="s">
        <v>830</v>
      </c>
      <c r="B100" s="308" t="s">
        <v>860</v>
      </c>
      <c r="C100" s="308" t="s">
        <v>304</v>
      </c>
      <c r="D100" s="308"/>
      <c r="E100" s="308" t="s">
        <v>810</v>
      </c>
      <c r="F100" s="309">
        <v>6000000</v>
      </c>
      <c r="G100" s="310">
        <v>2023</v>
      </c>
      <c r="H100" s="307" t="s">
        <v>106</v>
      </c>
      <c r="I100" s="301"/>
    </row>
    <row r="102" spans="1:9" x14ac:dyDescent="0.25">
      <c r="B102" s="58" t="s">
        <v>285</v>
      </c>
    </row>
    <row r="103" spans="1:9" x14ac:dyDescent="0.25">
      <c r="B103" s="58" t="s">
        <v>888</v>
      </c>
    </row>
  </sheetData>
  <phoneticPr fontId="56" type="noConversion"/>
  <conditionalFormatting sqref="B26 B37:B38 B41 B65:B71">
    <cfRule type="expression" dxfId="1" priority="3">
      <formula>#REF!="Y"</formula>
    </cfRule>
  </conditionalFormatting>
  <conditionalFormatting sqref="B29:B32 B51">
    <cfRule type="expression" dxfId="0" priority="9">
      <formula>#REF!="Y"</formula>
    </cfRule>
  </conditionalFormatting>
  <pageMargins left="0.7" right="0.7" top="0.75" bottom="0.75" header="0.3" footer="0.3"/>
  <pageSetup paperSize="17" scale="76" orientation="landscape"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pageSetUpPr fitToPage="1"/>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741</v>
      </c>
      <c r="B1" s="45"/>
      <c r="D1" s="347" t="s">
        <v>751</v>
      </c>
      <c r="E1" s="348"/>
      <c r="F1" s="348"/>
      <c r="G1" s="348"/>
      <c r="H1" s="349"/>
    </row>
    <row r="2" spans="1:27" x14ac:dyDescent="0.25">
      <c r="A2" s="259">
        <v>43971</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746</v>
      </c>
    </row>
    <row r="8" spans="1:27" ht="79.150000000000006" customHeight="1" x14ac:dyDescent="0.25">
      <c r="A8" s="3" t="s">
        <v>2</v>
      </c>
      <c r="B8" s="180" t="s">
        <v>750</v>
      </c>
      <c r="E8" s="352" t="s">
        <v>100</v>
      </c>
      <c r="F8" s="352"/>
      <c r="G8" s="352"/>
      <c r="H8" s="352"/>
      <c r="I8" s="352"/>
    </row>
    <row r="9" spans="1:27" ht="85.15" customHeight="1" x14ac:dyDescent="0.25">
      <c r="A9" s="3" t="s">
        <v>238</v>
      </c>
      <c r="B9" s="180" t="s">
        <v>749</v>
      </c>
      <c r="E9" s="176"/>
      <c r="F9" s="176"/>
      <c r="G9" s="176"/>
      <c r="H9" s="176"/>
      <c r="I9" s="176"/>
    </row>
    <row r="10" spans="1:27" ht="15.75" thickBot="1" x14ac:dyDescent="0.3">
      <c r="A10" s="3" t="s">
        <v>1</v>
      </c>
      <c r="B10" s="3"/>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261" t="s">
        <v>517</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v>400000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652</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693</v>
      </c>
      <c r="B1" s="45"/>
      <c r="D1" s="347" t="s">
        <v>714</v>
      </c>
      <c r="E1" s="348"/>
      <c r="F1" s="348"/>
      <c r="G1" s="348"/>
      <c r="H1" s="349"/>
    </row>
    <row r="2" spans="1:27" x14ac:dyDescent="0.25">
      <c r="A2" s="58" t="s">
        <v>700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693</v>
      </c>
    </row>
    <row r="8" spans="1:27" ht="132" customHeight="1" x14ac:dyDescent="0.25">
      <c r="A8" s="3" t="s">
        <v>2</v>
      </c>
      <c r="B8" s="223" t="s">
        <v>715</v>
      </c>
      <c r="E8" s="352" t="s">
        <v>100</v>
      </c>
      <c r="F8" s="352"/>
      <c r="G8" s="352"/>
      <c r="H8" s="352"/>
      <c r="I8" s="352"/>
    </row>
    <row r="9" spans="1:27" ht="114" customHeight="1" thickBot="1" x14ac:dyDescent="0.3">
      <c r="A9" s="3" t="s">
        <v>238</v>
      </c>
      <c r="B9" s="89" t="s">
        <v>718</v>
      </c>
      <c r="C9" s="1" t="s">
        <v>48</v>
      </c>
      <c r="E9" s="353" t="s">
        <v>53</v>
      </c>
      <c r="F9" s="354"/>
      <c r="G9" s="354"/>
      <c r="H9" s="355"/>
      <c r="I9" s="3" t="str">
        <f>B14</f>
        <v>N/A</v>
      </c>
      <c r="J9" t="s">
        <v>74</v>
      </c>
      <c r="P9" s="36" t="s">
        <v>76</v>
      </c>
      <c r="Q9" s="36"/>
      <c r="R9" s="36"/>
      <c r="S9" s="36"/>
      <c r="T9" s="36"/>
      <c r="U9" s="36"/>
      <c r="V9" s="36"/>
      <c r="W9" s="36"/>
      <c r="X9" s="36"/>
      <c r="Y9" s="36"/>
      <c r="Z9" s="36"/>
      <c r="AA9" s="36"/>
    </row>
    <row r="10" spans="1:27" ht="48" customHeight="1" thickBot="1" x14ac:dyDescent="0.3">
      <c r="A10" s="3" t="s">
        <v>4</v>
      </c>
      <c r="B10" s="3" t="s">
        <v>263</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226" t="s">
        <v>716</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4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7" t="s">
        <v>116</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18" t="s">
        <v>717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66" t="s">
        <v>259</v>
      </c>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367"/>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B16:B17"/>
    <mergeCell ref="D1:H1"/>
    <mergeCell ref="A6:B6"/>
    <mergeCell ref="E8:I8"/>
    <mergeCell ref="E9:H9"/>
    <mergeCell ref="J10:N11"/>
    <mergeCell ref="J12:N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AA57"/>
  <sheetViews>
    <sheetView zoomScale="80" zoomScaleNormal="80" workbookViewId="0">
      <selection activeCell="A36" sqref="A36"/>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694</v>
      </c>
      <c r="B1" s="45"/>
      <c r="D1" s="347" t="s">
        <v>714</v>
      </c>
      <c r="E1" s="348"/>
      <c r="F1" s="348"/>
      <c r="G1" s="348"/>
      <c r="H1" s="349"/>
    </row>
    <row r="2" spans="1:27" x14ac:dyDescent="0.25">
      <c r="A2" s="58" t="s">
        <v>700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694</v>
      </c>
    </row>
    <row r="8" spans="1:27" ht="172.5" customHeight="1" x14ac:dyDescent="0.25">
      <c r="A8" s="3" t="s">
        <v>2</v>
      </c>
      <c r="B8" s="223" t="s">
        <v>713</v>
      </c>
      <c r="E8" s="352" t="s">
        <v>100</v>
      </c>
      <c r="F8" s="352"/>
      <c r="G8" s="352"/>
      <c r="H8" s="352"/>
      <c r="I8" s="352"/>
    </row>
    <row r="9" spans="1:27" ht="105" customHeight="1" thickBot="1" x14ac:dyDescent="0.3">
      <c r="A9" s="3" t="s">
        <v>238</v>
      </c>
      <c r="B9" s="89" t="s">
        <v>719</v>
      </c>
      <c r="C9" s="1" t="s">
        <v>48</v>
      </c>
      <c r="E9" s="353" t="s">
        <v>53</v>
      </c>
      <c r="F9" s="354"/>
      <c r="G9" s="354"/>
      <c r="H9" s="355"/>
      <c r="I9" s="3" t="str">
        <f>B14</f>
        <v>N/A</v>
      </c>
      <c r="J9" t="s">
        <v>74</v>
      </c>
      <c r="P9" s="36" t="s">
        <v>76</v>
      </c>
      <c r="Q9" s="36"/>
      <c r="R9" s="36"/>
      <c r="S9" s="36"/>
      <c r="T9" s="36"/>
      <c r="U9" s="36"/>
      <c r="V9" s="36"/>
      <c r="W9" s="36"/>
      <c r="X9" s="36"/>
      <c r="Y9" s="36"/>
      <c r="Z9" s="36"/>
      <c r="AA9" s="36"/>
    </row>
    <row r="10" spans="1:27" ht="48" customHeight="1" thickBot="1" x14ac:dyDescent="0.3">
      <c r="A10" s="3" t="s">
        <v>4</v>
      </c>
      <c r="B10" s="3" t="s">
        <v>263</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225" t="s">
        <v>712</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4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7" t="s">
        <v>116</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18"/>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66" t="s">
        <v>259</v>
      </c>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367"/>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7" ht="16.5" customHeight="1" x14ac:dyDescent="0.25">
      <c r="A33" s="84"/>
    </row>
    <row r="35" spans="1:7" ht="27" customHeight="1" x14ac:dyDescent="0.25">
      <c r="A35" s="84"/>
      <c r="C35" s="224" t="s">
        <v>134</v>
      </c>
      <c r="D35" s="224" t="s">
        <v>134</v>
      </c>
      <c r="E35" s="224" t="s">
        <v>134</v>
      </c>
      <c r="F35" s="224" t="s">
        <v>134</v>
      </c>
      <c r="G35" s="224" t="s">
        <v>134</v>
      </c>
    </row>
    <row r="56" customFormat="1" x14ac:dyDescent="0.25"/>
    <row r="57" customFormat="1" x14ac:dyDescent="0.25"/>
  </sheetData>
  <mergeCells count="10">
    <mergeCell ref="J18:N20"/>
    <mergeCell ref="J22:N24"/>
    <mergeCell ref="A25:B25"/>
    <mergeCell ref="B16:B17"/>
    <mergeCell ref="D1:H1"/>
    <mergeCell ref="A6:B6"/>
    <mergeCell ref="E8:I8"/>
    <mergeCell ref="E9:H9"/>
    <mergeCell ref="J10:N11"/>
    <mergeCell ref="J12:N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AA34"/>
  <sheetViews>
    <sheetView zoomScale="80" zoomScaleNormal="80" workbookViewId="0"/>
  </sheetViews>
  <sheetFormatPr defaultRowHeight="15" x14ac:dyDescent="0.25"/>
  <cols>
    <col min="1" max="1" width="63.7109375" customWidth="1"/>
    <col min="2" max="2" width="93.28515625" customWidth="1"/>
    <col min="3" max="3" width="44.42578125" style="1" customWidth="1"/>
    <col min="5" max="5" width="9.140625" style="20"/>
    <col min="6" max="6" width="14.42578125" style="20" customWidth="1"/>
    <col min="7" max="7" width="15.42578125" style="20" customWidth="1"/>
    <col min="8" max="8" width="18" style="20" customWidth="1"/>
    <col min="9" max="9" width="26.42578125" customWidth="1"/>
    <col min="16" max="16" width="12.140625" style="121" customWidth="1"/>
  </cols>
  <sheetData>
    <row r="1" spans="1:27" ht="99.6" customHeight="1" x14ac:dyDescent="0.3">
      <c r="A1" s="112" t="s">
        <v>110</v>
      </c>
      <c r="B1" s="10"/>
      <c r="C1" s="368" t="s">
        <v>748</v>
      </c>
      <c r="D1" s="369"/>
      <c r="E1" s="369"/>
      <c r="F1" s="369"/>
      <c r="G1" s="370"/>
    </row>
    <row r="2" spans="1:27" ht="20.25" customHeight="1" x14ac:dyDescent="0.25">
      <c r="A2" s="58" t="s">
        <v>747</v>
      </c>
    </row>
    <row r="3" spans="1:27" ht="15" customHeight="1" x14ac:dyDescent="0.25">
      <c r="A3" s="2" t="s">
        <v>8</v>
      </c>
      <c r="B3" s="2"/>
    </row>
    <row r="4" spans="1:27" ht="15" customHeight="1" x14ac:dyDescent="0.25">
      <c r="A4" s="9" t="s">
        <v>9</v>
      </c>
      <c r="B4" s="9"/>
    </row>
    <row r="5" spans="1:27" x14ac:dyDescent="0.25">
      <c r="C5" s="1" t="s">
        <v>31</v>
      </c>
    </row>
    <row r="6" spans="1:27" ht="33" customHeight="1" x14ac:dyDescent="0.25">
      <c r="A6" s="373" t="s">
        <v>10</v>
      </c>
      <c r="B6" s="374"/>
    </row>
    <row r="7" spans="1:27" ht="21" hidden="1" customHeight="1" x14ac:dyDescent="0.25">
      <c r="A7" s="3" t="s">
        <v>0</v>
      </c>
      <c r="B7" s="3" t="s">
        <v>110</v>
      </c>
    </row>
    <row r="8" spans="1:27" ht="136.5" customHeight="1" x14ac:dyDescent="0.25">
      <c r="A8" s="3" t="s">
        <v>2</v>
      </c>
      <c r="B8" s="158" t="s">
        <v>633</v>
      </c>
      <c r="D8" s="201"/>
    </row>
    <row r="9" spans="1:27" ht="128.25" customHeight="1" x14ac:dyDescent="0.25">
      <c r="A9" s="63" t="s">
        <v>238</v>
      </c>
      <c r="B9" s="158" t="s">
        <v>634</v>
      </c>
      <c r="E9" s="375"/>
      <c r="F9" s="375"/>
      <c r="G9" s="375"/>
      <c r="H9" s="375"/>
      <c r="I9" s="375"/>
    </row>
    <row r="10" spans="1:27" ht="51.75" customHeight="1" x14ac:dyDescent="0.25">
      <c r="A10" s="3" t="s">
        <v>1</v>
      </c>
      <c r="B10" s="3" t="s">
        <v>240</v>
      </c>
      <c r="C10" s="1" t="s">
        <v>48</v>
      </c>
      <c r="E10" s="371"/>
      <c r="F10" s="371"/>
      <c r="G10" s="371"/>
      <c r="H10" s="371"/>
      <c r="I10" s="1"/>
      <c r="P10" s="21"/>
      <c r="Q10" s="21"/>
      <c r="R10" s="21"/>
      <c r="S10" s="21"/>
      <c r="T10" s="21"/>
      <c r="U10" s="21"/>
      <c r="V10" s="21"/>
      <c r="W10" s="21"/>
      <c r="X10" s="21"/>
      <c r="Y10" s="21"/>
      <c r="Z10" s="21"/>
      <c r="AA10" s="21"/>
    </row>
    <row r="11" spans="1:27" ht="48" customHeight="1" x14ac:dyDescent="0.25">
      <c r="A11" s="3" t="s">
        <v>4</v>
      </c>
      <c r="B11" s="3" t="s">
        <v>380</v>
      </c>
      <c r="C11" s="1" t="s">
        <v>3</v>
      </c>
      <c r="E11" s="203"/>
      <c r="F11" s="184"/>
      <c r="G11" s="184"/>
      <c r="H11" s="184"/>
      <c r="I11" s="184"/>
      <c r="J11" s="345"/>
      <c r="K11" s="345"/>
      <c r="L11" s="345"/>
      <c r="M11" s="345"/>
      <c r="N11" s="345"/>
      <c r="P11" s="21"/>
      <c r="Q11" s="202"/>
      <c r="R11" s="202"/>
      <c r="S11" s="202"/>
      <c r="T11" s="202"/>
      <c r="U11" s="202"/>
      <c r="V11" s="202"/>
      <c r="W11" s="202"/>
      <c r="X11" s="202"/>
      <c r="Y11" s="202"/>
      <c r="Z11" s="202"/>
      <c r="AA11" s="25"/>
    </row>
    <row r="12" spans="1:27" ht="36.75" customHeight="1" x14ac:dyDescent="0.25">
      <c r="A12" s="7" t="s">
        <v>49</v>
      </c>
      <c r="B12" s="98" t="s">
        <v>767</v>
      </c>
      <c r="C12" s="204" t="s">
        <v>630</v>
      </c>
      <c r="J12" s="345"/>
      <c r="K12" s="345"/>
      <c r="L12" s="345"/>
      <c r="M12" s="345"/>
      <c r="N12" s="345"/>
      <c r="P12" s="21"/>
      <c r="Q12" s="21"/>
      <c r="R12" s="21"/>
      <c r="S12" s="21"/>
      <c r="T12" s="21"/>
      <c r="U12" s="21"/>
      <c r="V12" s="21"/>
      <c r="W12" s="21"/>
      <c r="X12" s="21"/>
      <c r="Y12" s="21"/>
      <c r="Z12" s="21"/>
      <c r="AA12" s="21"/>
    </row>
    <row r="13" spans="1:27" ht="15" customHeight="1" x14ac:dyDescent="0.25">
      <c r="A13" s="7" t="s">
        <v>50</v>
      </c>
      <c r="B13" s="7" t="s">
        <v>631</v>
      </c>
      <c r="J13" s="345"/>
      <c r="K13" s="345"/>
      <c r="L13" s="345"/>
      <c r="M13" s="345"/>
      <c r="N13" s="345"/>
      <c r="P13" s="21"/>
      <c r="Q13" s="21"/>
      <c r="R13" s="21"/>
      <c r="S13" s="21"/>
      <c r="T13" s="21"/>
      <c r="U13" s="21"/>
      <c r="V13" s="21"/>
      <c r="W13" s="21"/>
      <c r="X13" s="21"/>
      <c r="Y13" s="21"/>
      <c r="Z13" s="21"/>
      <c r="AA13" s="21"/>
    </row>
    <row r="14" spans="1:27" x14ac:dyDescent="0.25">
      <c r="A14" s="7" t="s">
        <v>51</v>
      </c>
      <c r="B14" s="14" t="s">
        <v>134</v>
      </c>
      <c r="C14" s="1" t="s">
        <v>52</v>
      </c>
      <c r="J14" s="345"/>
      <c r="K14" s="345"/>
      <c r="L14" s="345"/>
      <c r="M14" s="345"/>
      <c r="N14" s="345"/>
      <c r="P14" s="21"/>
      <c r="Q14" s="21"/>
      <c r="R14" s="21"/>
      <c r="S14" s="21"/>
      <c r="T14" s="21"/>
      <c r="U14" s="21"/>
      <c r="V14" s="21"/>
      <c r="W14" s="21"/>
      <c r="X14" s="21"/>
      <c r="Y14" s="21"/>
      <c r="Z14" s="21"/>
      <c r="AA14" s="21"/>
    </row>
    <row r="15" spans="1:27" ht="21.75" customHeight="1" x14ac:dyDescent="0.25">
      <c r="A15" s="7" t="s">
        <v>53</v>
      </c>
      <c r="B15" s="18" t="s">
        <v>403</v>
      </c>
      <c r="J15" s="345"/>
      <c r="K15" s="345"/>
      <c r="L15" s="345"/>
      <c r="M15" s="345"/>
      <c r="N15" s="345"/>
      <c r="P15" s="21"/>
      <c r="Q15" s="21"/>
      <c r="R15" s="21"/>
      <c r="S15" s="21"/>
      <c r="T15" s="21"/>
      <c r="U15" s="21"/>
      <c r="V15" s="21"/>
      <c r="W15" s="21"/>
      <c r="X15" s="21"/>
      <c r="Y15" s="21"/>
      <c r="Z15" s="21"/>
      <c r="AA15" s="21"/>
    </row>
    <row r="16" spans="1:27" x14ac:dyDescent="0.25">
      <c r="A16" s="14" t="s">
        <v>41</v>
      </c>
      <c r="B16" s="376" t="s">
        <v>632</v>
      </c>
      <c r="J16" s="345"/>
      <c r="K16" s="345"/>
      <c r="L16" s="345"/>
      <c r="M16" s="345"/>
      <c r="N16" s="345"/>
      <c r="P16" s="21"/>
      <c r="Q16" s="21"/>
      <c r="R16" s="21"/>
      <c r="S16" s="21"/>
      <c r="T16" s="21"/>
      <c r="U16" s="21"/>
      <c r="V16" s="21"/>
      <c r="W16" s="21"/>
      <c r="X16" s="21"/>
      <c r="Y16" s="21"/>
      <c r="Z16" s="21"/>
      <c r="AA16" s="21"/>
    </row>
    <row r="17" spans="1:27" ht="60.75" customHeight="1" x14ac:dyDescent="0.25">
      <c r="A17" s="14" t="s">
        <v>7</v>
      </c>
      <c r="B17" s="377"/>
      <c r="C17" s="1" t="s">
        <v>21</v>
      </c>
      <c r="J17" s="345"/>
      <c r="K17" s="345"/>
      <c r="L17" s="345"/>
      <c r="M17" s="345"/>
      <c r="N17" s="345"/>
      <c r="P17" s="21"/>
      <c r="Q17" s="21"/>
      <c r="R17" s="21"/>
      <c r="S17" s="21"/>
      <c r="T17" s="21"/>
      <c r="U17" s="21"/>
      <c r="V17" s="21"/>
      <c r="W17" s="21"/>
      <c r="X17" s="21"/>
      <c r="Y17" s="21"/>
      <c r="Z17" s="21"/>
      <c r="AA17" s="21"/>
    </row>
    <row r="18" spans="1:27" x14ac:dyDescent="0.25">
      <c r="A18" s="14" t="s">
        <v>72</v>
      </c>
      <c r="B18" s="14"/>
      <c r="C18" s="1" t="s">
        <v>73</v>
      </c>
      <c r="P18" s="21"/>
      <c r="Q18" s="21"/>
      <c r="R18" s="21"/>
      <c r="S18" s="21"/>
      <c r="T18" s="21"/>
      <c r="U18" s="21"/>
      <c r="V18" s="21"/>
      <c r="W18" s="21"/>
      <c r="X18" s="21"/>
      <c r="Y18" s="21"/>
      <c r="Z18" s="21"/>
      <c r="AA18" s="21"/>
    </row>
    <row r="19" spans="1:27" x14ac:dyDescent="0.25">
      <c r="A19" s="14" t="s">
        <v>68</v>
      </c>
      <c r="B19" s="15"/>
      <c r="C19" s="1" t="s">
        <v>69</v>
      </c>
      <c r="J19" s="371"/>
      <c r="K19" s="371"/>
      <c r="L19" s="371"/>
      <c r="M19" s="371"/>
      <c r="N19" s="371"/>
      <c r="P19" s="21"/>
      <c r="Q19" s="21"/>
      <c r="R19" s="21"/>
      <c r="S19" s="21"/>
      <c r="T19" s="21"/>
      <c r="U19" s="21"/>
      <c r="V19" s="21"/>
      <c r="W19" s="21"/>
      <c r="X19" s="21"/>
      <c r="Y19" s="21"/>
      <c r="Z19" s="21"/>
      <c r="AA19" s="21"/>
    </row>
    <row r="20" spans="1:27" ht="21" customHeight="1" x14ac:dyDescent="0.25">
      <c r="A20" s="14" t="s">
        <v>67</v>
      </c>
      <c r="B20" s="14"/>
      <c r="C20" s="1" t="s">
        <v>70</v>
      </c>
      <c r="J20" s="371"/>
      <c r="K20" s="371"/>
      <c r="L20" s="371"/>
      <c r="M20" s="371"/>
      <c r="N20" s="371"/>
      <c r="P20" s="21"/>
      <c r="Q20" s="21"/>
      <c r="R20" s="21"/>
      <c r="S20" s="21"/>
      <c r="T20" s="21"/>
      <c r="U20" s="21"/>
      <c r="V20" s="21"/>
      <c r="W20" s="21"/>
      <c r="X20" s="21"/>
      <c r="Y20" s="21"/>
      <c r="Z20" s="21"/>
      <c r="AA20" s="21"/>
    </row>
    <row r="21" spans="1:27" ht="48.75" customHeight="1" x14ac:dyDescent="0.25">
      <c r="A21" s="64" t="s">
        <v>98</v>
      </c>
      <c r="B21" s="65" t="s">
        <v>643</v>
      </c>
      <c r="C21" s="1" t="s">
        <v>58</v>
      </c>
      <c r="J21" s="371"/>
      <c r="K21" s="371"/>
      <c r="L21" s="371"/>
      <c r="M21" s="371"/>
      <c r="N21" s="371"/>
      <c r="P21" s="21"/>
      <c r="Q21" s="21"/>
      <c r="R21" s="21"/>
      <c r="S21" s="21"/>
      <c r="T21" s="21"/>
      <c r="U21" s="21"/>
      <c r="V21" s="21"/>
      <c r="W21" s="21"/>
      <c r="X21" s="21"/>
      <c r="Y21" s="21"/>
      <c r="Z21" s="21"/>
      <c r="AA21" s="21"/>
    </row>
    <row r="22" spans="1:27" ht="29.25" customHeight="1" x14ac:dyDescent="0.25">
      <c r="A22" s="3" t="s">
        <v>5</v>
      </c>
      <c r="B22" s="208" t="s">
        <v>644</v>
      </c>
      <c r="C22" s="1" t="s">
        <v>6</v>
      </c>
      <c r="P22" s="21"/>
      <c r="Q22" s="21"/>
      <c r="R22" s="21"/>
      <c r="S22" s="21"/>
      <c r="T22" s="21"/>
      <c r="U22" s="21"/>
      <c r="V22" s="21"/>
      <c r="W22" s="21"/>
      <c r="X22" s="21"/>
      <c r="Y22" s="21"/>
      <c r="Z22" s="21"/>
      <c r="AA22" s="21"/>
    </row>
    <row r="23" spans="1:27" ht="34.5" customHeight="1" x14ac:dyDescent="0.25">
      <c r="A23" s="3" t="s">
        <v>55</v>
      </c>
      <c r="B23" s="17" t="s">
        <v>191</v>
      </c>
      <c r="C23" s="1" t="s">
        <v>54</v>
      </c>
      <c r="J23" s="345"/>
      <c r="K23" s="345"/>
      <c r="L23" s="345"/>
      <c r="M23" s="345"/>
      <c r="N23" s="345"/>
      <c r="P23" s="21"/>
      <c r="Q23" s="21"/>
      <c r="R23" s="21"/>
      <c r="S23" s="21"/>
      <c r="T23" s="21"/>
      <c r="U23" s="21"/>
      <c r="V23" s="21"/>
      <c r="W23" s="21"/>
      <c r="X23" s="21"/>
      <c r="Y23" s="21"/>
      <c r="Z23" s="21"/>
      <c r="AA23" s="21"/>
    </row>
    <row r="24" spans="1:27" ht="30.75" customHeight="1" x14ac:dyDescent="0.25">
      <c r="A24" s="3" t="s">
        <v>56</v>
      </c>
      <c r="B24" s="16"/>
      <c r="C24" s="1" t="s">
        <v>57</v>
      </c>
      <c r="J24" s="345"/>
      <c r="K24" s="345"/>
      <c r="L24" s="345"/>
      <c r="M24" s="345"/>
      <c r="N24" s="345"/>
      <c r="P24" s="21"/>
      <c r="Q24" s="21"/>
      <c r="R24" s="21"/>
      <c r="S24" s="21"/>
      <c r="T24" s="21"/>
      <c r="U24" s="21"/>
      <c r="V24" s="21"/>
      <c r="W24" s="21"/>
      <c r="X24" s="21"/>
      <c r="Y24" s="21"/>
      <c r="Z24" s="21"/>
      <c r="AA24" s="21"/>
    </row>
    <row r="25" spans="1:27" x14ac:dyDescent="0.25">
      <c r="A25" s="12"/>
      <c r="B25" s="13"/>
      <c r="J25" s="345"/>
      <c r="K25" s="345"/>
      <c r="L25" s="345"/>
      <c r="M25" s="345"/>
      <c r="N25" s="345"/>
      <c r="P25" s="21"/>
      <c r="Q25" s="21"/>
      <c r="R25" s="21"/>
      <c r="S25" s="21"/>
      <c r="T25" s="21"/>
      <c r="U25" s="21"/>
      <c r="V25" s="21"/>
      <c r="W25" s="21"/>
      <c r="X25" s="21"/>
      <c r="Y25" s="21"/>
      <c r="Z25" s="21"/>
      <c r="AA25" s="21"/>
    </row>
    <row r="26" spans="1:27" x14ac:dyDescent="0.25">
      <c r="A26" s="372" t="s">
        <v>71</v>
      </c>
      <c r="B26" s="372"/>
      <c r="P26" s="21"/>
      <c r="Q26" s="21"/>
      <c r="R26" s="21"/>
      <c r="S26" s="21"/>
      <c r="T26" s="21"/>
      <c r="U26" s="21"/>
      <c r="V26" s="21"/>
      <c r="W26" s="21"/>
      <c r="X26" s="21"/>
      <c r="Y26" s="21"/>
      <c r="Z26" s="21"/>
      <c r="AA26" s="21"/>
    </row>
    <row r="27" spans="1:27" x14ac:dyDescent="0.25">
      <c r="A27" s="3" t="s">
        <v>28</v>
      </c>
      <c r="B27" s="3"/>
      <c r="P27" s="21"/>
      <c r="Q27" s="21"/>
      <c r="R27" s="21"/>
      <c r="S27" s="21"/>
      <c r="T27" s="21"/>
      <c r="U27" s="21"/>
      <c r="V27" s="21"/>
      <c r="W27" s="21"/>
      <c r="X27" s="21"/>
      <c r="Y27" s="21"/>
      <c r="Z27" s="21"/>
      <c r="AA27" s="21"/>
    </row>
    <row r="28" spans="1:27" x14ac:dyDescent="0.25">
      <c r="A28" s="3" t="s">
        <v>29</v>
      </c>
      <c r="B28" s="3"/>
      <c r="P28" s="21"/>
      <c r="Q28" s="21"/>
      <c r="R28" s="21"/>
      <c r="S28" s="21"/>
      <c r="T28" s="21"/>
      <c r="U28" s="21"/>
      <c r="V28" s="21"/>
      <c r="W28" s="21"/>
      <c r="X28" s="21"/>
      <c r="Y28" s="21"/>
      <c r="Z28" s="21"/>
      <c r="AA28" s="21"/>
    </row>
    <row r="29" spans="1:27" ht="39.75" customHeight="1" x14ac:dyDescent="0.25">
      <c r="A29" s="3" t="s">
        <v>30</v>
      </c>
      <c r="B29" s="17"/>
      <c r="C29" s="1" t="s">
        <v>43</v>
      </c>
      <c r="P29" s="21"/>
      <c r="Q29" s="21"/>
      <c r="R29" s="21"/>
      <c r="S29" s="21"/>
      <c r="T29" s="21"/>
      <c r="U29" s="21"/>
      <c r="V29" s="21"/>
      <c r="W29" s="21"/>
      <c r="X29" s="21"/>
      <c r="Y29" s="21"/>
      <c r="Z29" s="21"/>
      <c r="AA29" s="21"/>
    </row>
    <row r="30" spans="1:27" x14ac:dyDescent="0.25">
      <c r="A30" s="3" t="s">
        <v>44</v>
      </c>
      <c r="B30" s="3"/>
      <c r="P30" s="21"/>
      <c r="Q30" s="21"/>
      <c r="R30" s="21"/>
      <c r="S30" s="21"/>
      <c r="T30" s="21"/>
      <c r="U30" s="21"/>
      <c r="V30" s="21"/>
      <c r="W30" s="21"/>
      <c r="X30" s="21"/>
      <c r="Y30" s="21"/>
      <c r="Z30" s="21"/>
      <c r="AA30" s="21"/>
    </row>
    <row r="31" spans="1:27" x14ac:dyDescent="0.25">
      <c r="A31" s="3" t="s">
        <v>47</v>
      </c>
      <c r="B31" s="3"/>
      <c r="P31" s="21"/>
      <c r="Q31" s="21"/>
      <c r="R31" s="21"/>
      <c r="S31" s="21"/>
      <c r="T31" s="21"/>
      <c r="U31" s="21"/>
      <c r="V31" s="21"/>
      <c r="W31" s="21"/>
      <c r="X31" s="21"/>
      <c r="Y31" s="21"/>
      <c r="Z31" s="21"/>
      <c r="AA31" s="21"/>
    </row>
    <row r="32" spans="1:27" x14ac:dyDescent="0.25">
      <c r="A32" s="3" t="s">
        <v>45</v>
      </c>
      <c r="B32" s="3"/>
      <c r="P32" s="21"/>
      <c r="Q32" s="21"/>
      <c r="R32" s="21"/>
      <c r="S32" s="21"/>
      <c r="T32" s="21"/>
      <c r="U32" s="21"/>
      <c r="V32" s="21"/>
      <c r="W32" s="21"/>
      <c r="X32" s="21"/>
      <c r="Y32" s="21"/>
      <c r="Z32" s="21"/>
      <c r="AA32" s="21"/>
    </row>
    <row r="33" spans="1:9" x14ac:dyDescent="0.25">
      <c r="A33" s="3" t="s">
        <v>46</v>
      </c>
      <c r="B33" s="3"/>
    </row>
    <row r="34" spans="1:9" x14ac:dyDescent="0.25">
      <c r="A34" s="227" t="s">
        <v>134</v>
      </c>
      <c r="B34">
        <v>1.9</v>
      </c>
      <c r="C34" s="1" t="s">
        <v>134</v>
      </c>
      <c r="D34" t="s">
        <v>134</v>
      </c>
      <c r="E34" s="20" t="s">
        <v>134</v>
      </c>
      <c r="F34" s="20" t="s">
        <v>134</v>
      </c>
      <c r="G34" s="20" t="s">
        <v>134</v>
      </c>
      <c r="I34" s="224" t="s">
        <v>134</v>
      </c>
    </row>
  </sheetData>
  <mergeCells count="10">
    <mergeCell ref="C1:G1"/>
    <mergeCell ref="J19:N21"/>
    <mergeCell ref="J23:N25"/>
    <mergeCell ref="A26:B26"/>
    <mergeCell ref="A6:B6"/>
    <mergeCell ref="E9:I9"/>
    <mergeCell ref="E10:H10"/>
    <mergeCell ref="J11:N12"/>
    <mergeCell ref="J13:N17"/>
    <mergeCell ref="B16:B17"/>
  </mergeCells>
  <pageMargins left="0.7" right="0.7" top="0.75" bottom="0.75" header="0.3" footer="0.3"/>
  <pageSetup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AA57"/>
  <sheetViews>
    <sheetView topLeftCell="B1" zoomScale="80" zoomScaleNormal="80" workbookViewId="0">
      <selection activeCell="B1" sqref="B1"/>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25">
      <c r="A1" s="154" t="s">
        <v>424</v>
      </c>
      <c r="B1" s="228" t="s">
        <v>728</v>
      </c>
      <c r="C1" s="378" t="s">
        <v>509</v>
      </c>
      <c r="D1" s="379"/>
      <c r="E1" s="379"/>
      <c r="F1" s="379"/>
      <c r="G1" s="380"/>
    </row>
    <row r="2" spans="1:27" x14ac:dyDescent="0.25">
      <c r="B2" s="58" t="s">
        <v>700</v>
      </c>
      <c r="C2" s="383" t="s">
        <v>134</v>
      </c>
      <c r="D2" s="384"/>
      <c r="E2" s="384"/>
      <c r="F2" s="384"/>
      <c r="G2" s="385"/>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64" t="s">
        <v>424</v>
      </c>
    </row>
    <row r="8" spans="1:27" ht="212.25" customHeight="1" x14ac:dyDescent="0.25">
      <c r="A8" s="3" t="s">
        <v>2</v>
      </c>
      <c r="B8" s="163" t="s">
        <v>508</v>
      </c>
      <c r="E8" s="352" t="s">
        <v>100</v>
      </c>
      <c r="F8" s="352"/>
      <c r="G8" s="352"/>
      <c r="H8" s="352"/>
      <c r="I8" s="352"/>
    </row>
    <row r="9" spans="1:27" ht="15.75" thickBot="1" x14ac:dyDescent="0.3">
      <c r="A9" s="3" t="s">
        <v>1</v>
      </c>
      <c r="B9" s="64"/>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64" t="s">
        <v>116</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14" t="s">
        <v>432</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4"/>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14"/>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9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81"/>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3" customHeight="1" x14ac:dyDescent="0.25">
      <c r="A16" s="80" t="s">
        <v>7</v>
      </c>
      <c r="B16" s="382"/>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90" t="s">
        <v>290</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91" t="s">
        <v>290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92" t="s">
        <v>433</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ht="15.75" customHeight="1" x14ac:dyDescent="0.25">
      <c r="A33" s="84"/>
    </row>
    <row r="34" spans="1:2" x14ac:dyDescent="0.25">
      <c r="B34" s="58"/>
    </row>
    <row r="35" spans="1:2" x14ac:dyDescent="0.25">
      <c r="A35" s="58"/>
      <c r="B35" s="58"/>
    </row>
    <row r="36" spans="1:2" x14ac:dyDescent="0.25">
      <c r="A36" s="58"/>
      <c r="B36" s="58"/>
    </row>
    <row r="37" spans="1:2" x14ac:dyDescent="0.25">
      <c r="A37" s="58"/>
      <c r="B37" s="152"/>
    </row>
    <row r="38" spans="1:2" x14ac:dyDescent="0.25">
      <c r="A38" s="58"/>
      <c r="B38" s="152"/>
    </row>
    <row r="39" spans="1:2" x14ac:dyDescent="0.25">
      <c r="A39" s="58"/>
      <c r="B39" s="152"/>
    </row>
    <row r="40" spans="1:2" x14ac:dyDescent="0.25">
      <c r="A40" s="58"/>
      <c r="B40" s="152"/>
    </row>
    <row r="41" spans="1:2" x14ac:dyDescent="0.25">
      <c r="A41" s="58"/>
      <c r="B41" s="152"/>
    </row>
    <row r="42" spans="1:2" x14ac:dyDescent="0.25">
      <c r="A42" s="58"/>
      <c r="B42" s="152"/>
    </row>
    <row r="56" customFormat="1" x14ac:dyDescent="0.25"/>
    <row r="57" customFormat="1" x14ac:dyDescent="0.25"/>
  </sheetData>
  <mergeCells count="11">
    <mergeCell ref="J18:N20"/>
    <mergeCell ref="J22:N24"/>
    <mergeCell ref="A25:B25"/>
    <mergeCell ref="C1:G1"/>
    <mergeCell ref="A6:B6"/>
    <mergeCell ref="E8:I8"/>
    <mergeCell ref="E9:H9"/>
    <mergeCell ref="J10:N11"/>
    <mergeCell ref="J12:N16"/>
    <mergeCell ref="B15:B16"/>
    <mergeCell ref="C2:G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AA58"/>
  <sheetViews>
    <sheetView topLeftCell="B1" zoomScale="80" zoomScaleNormal="80" workbookViewId="0">
      <selection activeCell="B1" sqref="B1"/>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85546875" style="121" customWidth="1"/>
  </cols>
  <sheetData>
    <row r="1" spans="1:27" ht="68.25" customHeight="1" x14ac:dyDescent="0.25">
      <c r="A1" s="154" t="s">
        <v>444</v>
      </c>
      <c r="B1" s="228" t="s">
        <v>730</v>
      </c>
      <c r="D1" s="378" t="s">
        <v>496</v>
      </c>
      <c r="E1" s="379"/>
      <c r="F1" s="379"/>
      <c r="G1" s="379"/>
      <c r="H1" s="380"/>
    </row>
    <row r="2" spans="1:27" x14ac:dyDescent="0.25">
      <c r="A2" s="58"/>
      <c r="B2" s="58" t="s">
        <v>700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64" t="s">
        <v>444</v>
      </c>
    </row>
    <row r="8" spans="1:27" ht="351" customHeight="1" x14ac:dyDescent="0.25">
      <c r="A8" s="3" t="s">
        <v>2</v>
      </c>
      <c r="B8" s="222" t="s">
        <v>706</v>
      </c>
    </row>
    <row r="9" spans="1:27" ht="143.25" customHeight="1" x14ac:dyDescent="0.25">
      <c r="A9" s="3" t="s">
        <v>238</v>
      </c>
      <c r="B9" s="222" t="s">
        <v>445</v>
      </c>
      <c r="E9" s="352" t="s">
        <v>100</v>
      </c>
      <c r="F9" s="352"/>
      <c r="G9" s="352"/>
      <c r="H9" s="352"/>
      <c r="I9" s="352"/>
    </row>
    <row r="10" spans="1:27" ht="15.75" thickBot="1" x14ac:dyDescent="0.3">
      <c r="A10" s="3" t="s">
        <v>1</v>
      </c>
      <c r="B10" s="64"/>
      <c r="C10" s="1" t="s">
        <v>48</v>
      </c>
      <c r="E10" s="353" t="s">
        <v>53</v>
      </c>
      <c r="F10" s="354"/>
      <c r="G10" s="354"/>
      <c r="H10" s="355"/>
      <c r="I10" s="3">
        <f>B15</f>
        <v>0</v>
      </c>
      <c r="J10" t="s">
        <v>74</v>
      </c>
      <c r="P10" s="36" t="s">
        <v>76</v>
      </c>
      <c r="Q10" s="36"/>
      <c r="R10" s="36"/>
      <c r="S10" s="36"/>
      <c r="T10" s="36"/>
      <c r="U10" s="36"/>
      <c r="V10" s="36"/>
      <c r="W10" s="36"/>
      <c r="X10" s="36"/>
      <c r="Y10" s="36"/>
      <c r="Z10" s="36"/>
      <c r="AA10" s="36"/>
    </row>
    <row r="11" spans="1:27" ht="48" customHeight="1" thickBot="1" x14ac:dyDescent="0.3">
      <c r="A11" s="3" t="s">
        <v>4</v>
      </c>
      <c r="B11" s="64" t="s">
        <v>116</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14"/>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14"/>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14"/>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9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0" t="s">
        <v>41</v>
      </c>
      <c r="B16" s="381"/>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0" t="s">
        <v>7</v>
      </c>
      <c r="B17" s="382"/>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36.6" customHeight="1" x14ac:dyDescent="0.25">
      <c r="A21" s="3" t="s">
        <v>98</v>
      </c>
      <c r="B21" s="90" t="s">
        <v>446</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8" customHeight="1" x14ac:dyDescent="0.25">
      <c r="A34" s="84"/>
    </row>
    <row r="57" customFormat="1" x14ac:dyDescent="0.25"/>
    <row r="58" customFormat="1" x14ac:dyDescent="0.25"/>
  </sheetData>
  <mergeCells count="10">
    <mergeCell ref="J19:N21"/>
    <mergeCell ref="J23:N25"/>
    <mergeCell ref="A26:B26"/>
    <mergeCell ref="D1:H1"/>
    <mergeCell ref="A6:B6"/>
    <mergeCell ref="E9:I9"/>
    <mergeCell ref="E10:H10"/>
    <mergeCell ref="J11:N12"/>
    <mergeCell ref="J13:N17"/>
    <mergeCell ref="B16:B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pageSetUpPr fitToPage="1"/>
  </sheetPr>
  <dimension ref="A1:AA58"/>
  <sheetViews>
    <sheetView zoomScale="80" zoomScaleNormal="80" workbookViewId="0"/>
  </sheetViews>
  <sheetFormatPr defaultRowHeight="15" x14ac:dyDescent="0.25"/>
  <cols>
    <col min="1" max="1" width="63.7109375" customWidth="1"/>
    <col min="2" max="2" width="79"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85546875" style="121" customWidth="1"/>
  </cols>
  <sheetData>
    <row r="1" spans="1:27" ht="72.599999999999994" customHeight="1" x14ac:dyDescent="0.3">
      <c r="A1" s="114" t="s">
        <v>239</v>
      </c>
      <c r="B1" s="45"/>
      <c r="C1" s="347" t="s">
        <v>707</v>
      </c>
      <c r="D1" s="348"/>
      <c r="E1" s="348"/>
      <c r="F1" s="348"/>
      <c r="G1" s="349"/>
    </row>
    <row r="2" spans="1:27" ht="27" customHeight="1"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235</v>
      </c>
    </row>
    <row r="8" spans="1:27" ht="69.75" customHeight="1" x14ac:dyDescent="0.25">
      <c r="A8" s="3" t="s">
        <v>2</v>
      </c>
      <c r="B8" s="85" t="s">
        <v>635</v>
      </c>
    </row>
    <row r="9" spans="1:27" ht="409.6" customHeight="1" x14ac:dyDescent="0.25">
      <c r="A9" s="63" t="s">
        <v>238</v>
      </c>
      <c r="B9" s="85" t="s">
        <v>466</v>
      </c>
      <c r="E9" s="352" t="s">
        <v>100</v>
      </c>
      <c r="F9" s="352"/>
      <c r="G9" s="352"/>
      <c r="H9" s="352"/>
      <c r="I9" s="352"/>
    </row>
    <row r="10" spans="1:27" ht="42.75" customHeight="1" thickBot="1" x14ac:dyDescent="0.3">
      <c r="A10" s="3" t="s">
        <v>1</v>
      </c>
      <c r="B10" s="3" t="s">
        <v>236</v>
      </c>
      <c r="C10" s="1" t="s">
        <v>48</v>
      </c>
      <c r="E10" s="353" t="s">
        <v>53</v>
      </c>
      <c r="F10" s="354"/>
      <c r="G10" s="354"/>
      <c r="H10" s="355"/>
      <c r="I10" s="3" t="str">
        <f>B15</f>
        <v xml:space="preserve">N/A   given project to address Reliabilty </v>
      </c>
      <c r="J10" t="s">
        <v>74</v>
      </c>
      <c r="P10" s="36" t="s">
        <v>76</v>
      </c>
      <c r="Q10" s="36"/>
      <c r="R10" s="36"/>
      <c r="S10" s="36"/>
      <c r="T10" s="36"/>
      <c r="U10" s="36"/>
      <c r="V10" s="36"/>
      <c r="W10" s="36"/>
      <c r="X10" s="36"/>
      <c r="Y10" s="36"/>
      <c r="Z10" s="36"/>
      <c r="AA10" s="36"/>
    </row>
    <row r="11" spans="1:27" ht="48" customHeight="1" thickBot="1" x14ac:dyDescent="0.3">
      <c r="A11" s="3" t="s">
        <v>4</v>
      </c>
      <c r="B11" s="3" t="s">
        <v>237</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45" customHeight="1" x14ac:dyDescent="0.25">
      <c r="A12" s="7" t="s">
        <v>49</v>
      </c>
      <c r="B12" s="147" t="s">
        <v>645</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18" t="s">
        <v>636</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ht="33" customHeight="1" x14ac:dyDescent="0.25">
      <c r="A14" s="7" t="s">
        <v>51</v>
      </c>
      <c r="B14" s="147" t="s">
        <v>471</v>
      </c>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t="s">
        <v>467</v>
      </c>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1" t="s">
        <v>41</v>
      </c>
      <c r="B16" s="381" t="s">
        <v>467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1" t="s">
        <v>7</v>
      </c>
      <c r="B17" s="382"/>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t="s">
        <v>646</v>
      </c>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137" t="s">
        <v>468</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207" t="s">
        <v>554</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92" t="s">
        <v>469</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91" t="s">
        <v>470</v>
      </c>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4.25" customHeight="1" x14ac:dyDescent="0.25">
      <c r="A34" s="84"/>
    </row>
    <row r="58" spans="3:8" x14ac:dyDescent="0.25">
      <c r="C58"/>
      <c r="E58"/>
      <c r="F58"/>
      <c r="G58"/>
      <c r="H58"/>
    </row>
  </sheetData>
  <mergeCells count="10">
    <mergeCell ref="C1:G1"/>
    <mergeCell ref="J19:N21"/>
    <mergeCell ref="J23:N25"/>
    <mergeCell ref="A26:B26"/>
    <mergeCell ref="A6:B6"/>
    <mergeCell ref="E9:I9"/>
    <mergeCell ref="E10:H10"/>
    <mergeCell ref="J11:N12"/>
    <mergeCell ref="J13:N17"/>
    <mergeCell ref="B16:B17"/>
  </mergeCells>
  <pageMargins left="0.7" right="0.7" top="0.75" bottom="0.75" header="0.3" footer="0.3"/>
  <pageSetup scale="5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59999389629810485"/>
  </sheetPr>
  <dimension ref="A1:AE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5703125" customWidth="1"/>
  </cols>
  <sheetData>
    <row r="1" spans="1:31" ht="51" customHeight="1" x14ac:dyDescent="0.3">
      <c r="A1" s="114" t="s">
        <v>531</v>
      </c>
      <c r="B1" s="45"/>
      <c r="D1" s="386" t="s">
        <v>650</v>
      </c>
      <c r="E1" s="387"/>
      <c r="F1" s="387"/>
      <c r="G1" s="387"/>
      <c r="H1" s="388"/>
    </row>
    <row r="2" spans="1:31" x14ac:dyDescent="0.25">
      <c r="A2" s="205">
        <v>43252</v>
      </c>
    </row>
    <row r="3" spans="1:31" ht="15" customHeight="1" x14ac:dyDescent="0.25">
      <c r="A3" s="2" t="s">
        <v>8</v>
      </c>
      <c r="B3" s="2"/>
    </row>
    <row r="4" spans="1:31" ht="15" customHeight="1" x14ac:dyDescent="0.25">
      <c r="A4" s="9" t="s">
        <v>9</v>
      </c>
      <c r="B4" s="9"/>
    </row>
    <row r="5" spans="1:31" x14ac:dyDescent="0.25">
      <c r="C5" s="1" t="s">
        <v>459</v>
      </c>
    </row>
    <row r="6" spans="1:31" x14ac:dyDescent="0.25">
      <c r="A6" s="350" t="s">
        <v>10</v>
      </c>
      <c r="B6" s="351"/>
    </row>
    <row r="7" spans="1:31" ht="21" customHeight="1" x14ac:dyDescent="0.25">
      <c r="A7" s="3" t="s">
        <v>0</v>
      </c>
      <c r="B7" s="3" t="s">
        <v>134</v>
      </c>
    </row>
    <row r="8" spans="1:31" ht="310.5" customHeight="1" x14ac:dyDescent="0.25">
      <c r="A8" s="3" t="s">
        <v>2</v>
      </c>
      <c r="B8" s="180" t="s">
        <v>649</v>
      </c>
    </row>
    <row r="9" spans="1:31" x14ac:dyDescent="0.25">
      <c r="A9" s="3" t="s">
        <v>1</v>
      </c>
      <c r="B9" s="3" t="s">
        <v>134</v>
      </c>
      <c r="C9" s="1" t="s">
        <v>48</v>
      </c>
      <c r="E9" s="353" t="s">
        <v>53</v>
      </c>
      <c r="F9" s="354"/>
      <c r="G9" s="354"/>
      <c r="H9" s="355"/>
      <c r="I9" s="181" t="str">
        <f>B14</f>
        <v xml:space="preserve">Not load driven </v>
      </c>
      <c r="J9" t="s">
        <v>74</v>
      </c>
      <c r="P9" s="37"/>
      <c r="Q9" s="37"/>
      <c r="R9" s="37"/>
      <c r="S9" s="37"/>
      <c r="T9" s="37"/>
      <c r="U9" s="37"/>
      <c r="V9" s="37"/>
      <c r="W9" s="37"/>
      <c r="X9" s="37"/>
      <c r="Y9" s="37"/>
      <c r="Z9" s="37"/>
      <c r="AA9" s="37"/>
      <c r="AB9" s="37"/>
      <c r="AC9" s="37"/>
      <c r="AD9" s="37"/>
      <c r="AE9" s="37"/>
    </row>
    <row r="10" spans="1:31" ht="48" customHeight="1" x14ac:dyDescent="0.25">
      <c r="A10" s="3" t="s">
        <v>4</v>
      </c>
      <c r="B10" s="3" t="s">
        <v>492</v>
      </c>
      <c r="C10" s="1" t="s">
        <v>3</v>
      </c>
      <c r="E10" s="30" t="s">
        <v>75</v>
      </c>
      <c r="F10" s="31" t="s">
        <v>147</v>
      </c>
      <c r="G10" s="31" t="s">
        <v>146</v>
      </c>
      <c r="H10" s="31" t="s">
        <v>90</v>
      </c>
      <c r="I10" s="31" t="s">
        <v>144</v>
      </c>
      <c r="J10" s="344" t="s">
        <v>92</v>
      </c>
      <c r="K10" s="345"/>
      <c r="L10" s="345"/>
      <c r="M10" s="345"/>
      <c r="N10" s="345"/>
      <c r="P10" s="37"/>
      <c r="Q10" s="37"/>
      <c r="R10" s="37"/>
      <c r="S10" s="37"/>
      <c r="T10" s="37"/>
      <c r="U10" s="37"/>
      <c r="V10" s="37"/>
      <c r="W10" s="37"/>
      <c r="X10" s="37"/>
      <c r="Y10" s="37"/>
      <c r="Z10" s="37"/>
      <c r="AA10" s="37"/>
      <c r="AB10" s="37"/>
      <c r="AC10" s="37"/>
      <c r="AD10" s="37"/>
      <c r="AE10" s="37"/>
    </row>
    <row r="11" spans="1:31" ht="19.5" customHeight="1" x14ac:dyDescent="0.25">
      <c r="A11" s="7" t="s">
        <v>49</v>
      </c>
      <c r="B11" s="7" t="s">
        <v>647</v>
      </c>
      <c r="E11" s="26">
        <v>2018</v>
      </c>
      <c r="F11" s="26"/>
      <c r="G11" s="26"/>
      <c r="H11" s="26"/>
      <c r="I11" s="3"/>
      <c r="J11" s="344"/>
      <c r="K11" s="345"/>
      <c r="L11" s="345"/>
      <c r="M11" s="345"/>
      <c r="N11" s="345"/>
      <c r="P11" s="37"/>
      <c r="Q11" s="37"/>
      <c r="R11" s="37"/>
      <c r="S11" s="37"/>
      <c r="T11" s="37"/>
      <c r="U11" s="37"/>
      <c r="V11" s="37"/>
      <c r="W11" s="37"/>
      <c r="X11" s="37"/>
      <c r="Y11" s="37"/>
      <c r="Z11" s="37"/>
      <c r="AA11" s="37"/>
      <c r="AB11" s="37"/>
      <c r="AC11" s="37"/>
      <c r="AD11" s="37"/>
      <c r="AE11" s="37"/>
    </row>
    <row r="12" spans="1:31" ht="15" customHeight="1" x14ac:dyDescent="0.25">
      <c r="A12" s="7" t="s">
        <v>50</v>
      </c>
      <c r="B12" s="11" t="s">
        <v>134</v>
      </c>
      <c r="E12" s="26">
        <f>+E11+1</f>
        <v>2019</v>
      </c>
      <c r="F12" s="26"/>
      <c r="G12" s="26"/>
      <c r="H12" s="26"/>
      <c r="I12" s="3"/>
      <c r="J12" s="344" t="s">
        <v>91</v>
      </c>
      <c r="K12" s="345"/>
      <c r="L12" s="345"/>
      <c r="M12" s="345"/>
      <c r="N12" s="345"/>
      <c r="P12" s="37"/>
      <c r="Q12" s="36"/>
      <c r="R12" s="36"/>
      <c r="S12" s="36"/>
      <c r="T12" s="36"/>
      <c r="U12" s="36"/>
      <c r="V12" s="36"/>
      <c r="W12" s="36"/>
      <c r="X12" s="36"/>
      <c r="Y12" s="36"/>
      <c r="Z12" s="36"/>
      <c r="AA12" s="36"/>
    </row>
    <row r="13" spans="1:31" ht="50.25" customHeight="1" x14ac:dyDescent="0.25">
      <c r="A13" s="7" t="s">
        <v>51</v>
      </c>
      <c r="B13" s="98" t="s">
        <v>204</v>
      </c>
      <c r="C13" s="1" t="s">
        <v>52</v>
      </c>
      <c r="E13" s="26">
        <f t="shared" ref="E13:E30" si="0">+E12+1</f>
        <v>2020</v>
      </c>
      <c r="F13" s="26"/>
      <c r="G13" s="26"/>
      <c r="H13" s="26"/>
      <c r="I13" s="3"/>
      <c r="J13" s="344"/>
      <c r="K13" s="345"/>
      <c r="L13" s="345"/>
      <c r="M13" s="345"/>
      <c r="N13" s="345"/>
      <c r="P13" s="37"/>
      <c r="Q13" s="36"/>
      <c r="R13" s="36"/>
      <c r="S13" s="36"/>
      <c r="T13" s="36"/>
      <c r="U13" s="36"/>
      <c r="V13" s="36"/>
      <c r="W13" s="36"/>
      <c r="X13" s="36"/>
      <c r="Y13" s="36"/>
      <c r="Z13" s="36"/>
      <c r="AA13" s="36"/>
    </row>
    <row r="14" spans="1:31" ht="21.75" customHeight="1" x14ac:dyDescent="0.25">
      <c r="A14" s="7" t="s">
        <v>53</v>
      </c>
      <c r="B14" s="18" t="s">
        <v>533</v>
      </c>
      <c r="E14" s="26">
        <f t="shared" si="0"/>
        <v>2021</v>
      </c>
      <c r="F14" s="26"/>
      <c r="G14" s="26"/>
      <c r="H14" s="26"/>
      <c r="I14" s="3"/>
      <c r="J14" s="344"/>
      <c r="K14" s="345"/>
      <c r="L14" s="345"/>
      <c r="M14" s="345"/>
      <c r="N14" s="345"/>
      <c r="P14" s="37"/>
      <c r="Q14" s="36"/>
      <c r="R14" s="36"/>
      <c r="S14" s="36"/>
      <c r="T14" s="36"/>
      <c r="U14" s="36"/>
      <c r="V14" s="36"/>
      <c r="W14" s="36"/>
      <c r="X14" s="36"/>
      <c r="Y14" s="36"/>
      <c r="Z14" s="36"/>
      <c r="AA14" s="36"/>
    </row>
    <row r="15" spans="1:31" x14ac:dyDescent="0.25">
      <c r="A15" s="206" t="s">
        <v>41</v>
      </c>
      <c r="B15" s="364" t="s">
        <v>97</v>
      </c>
      <c r="E15" s="26">
        <f t="shared" si="0"/>
        <v>2022</v>
      </c>
      <c r="F15" s="26"/>
      <c r="G15" s="26"/>
      <c r="H15" s="26"/>
      <c r="I15" s="3"/>
      <c r="J15" s="344"/>
      <c r="K15" s="345"/>
      <c r="L15" s="345"/>
      <c r="M15" s="345"/>
      <c r="N15" s="345"/>
      <c r="P15" s="37"/>
      <c r="Q15" s="36"/>
      <c r="R15" s="36"/>
      <c r="S15" s="36"/>
      <c r="T15" s="36"/>
      <c r="U15" s="36"/>
      <c r="V15" s="36"/>
      <c r="W15" s="36"/>
      <c r="X15" s="36"/>
      <c r="Y15" s="36"/>
      <c r="Z15" s="36"/>
      <c r="AA15" s="36"/>
    </row>
    <row r="16" spans="1:31" ht="60.75" customHeight="1" x14ac:dyDescent="0.25">
      <c r="A16" s="206" t="s">
        <v>7</v>
      </c>
      <c r="B16" s="365"/>
      <c r="C16" s="1" t="s">
        <v>21</v>
      </c>
      <c r="E16" s="26">
        <f t="shared" si="0"/>
        <v>2023</v>
      </c>
      <c r="F16" s="26"/>
      <c r="G16" s="26"/>
      <c r="H16" s="26"/>
      <c r="I16" s="3"/>
      <c r="J16" s="356"/>
      <c r="K16" s="357"/>
      <c r="L16" s="357"/>
      <c r="M16" s="357"/>
      <c r="N16" s="357"/>
      <c r="P16" s="37"/>
      <c r="Q16" s="36"/>
      <c r="R16" s="36"/>
      <c r="S16" s="36"/>
      <c r="T16" s="36"/>
      <c r="U16" s="36"/>
      <c r="V16" s="36"/>
      <c r="W16" s="36"/>
      <c r="X16" s="36"/>
      <c r="Y16" s="36"/>
      <c r="Z16" s="36"/>
      <c r="AA16" s="36"/>
    </row>
    <row r="17" spans="1:27" x14ac:dyDescent="0.25">
      <c r="A17" s="81" t="s">
        <v>72</v>
      </c>
      <c r="B17" s="81"/>
      <c r="C17" s="1" t="s">
        <v>73</v>
      </c>
      <c r="E17" s="26">
        <f t="shared" si="0"/>
        <v>2024</v>
      </c>
      <c r="F17" s="26"/>
      <c r="G17" s="26"/>
      <c r="H17" s="26"/>
      <c r="I17" s="3"/>
      <c r="J17" s="27" t="s">
        <v>89</v>
      </c>
      <c r="K17" s="28"/>
      <c r="L17" s="28"/>
      <c r="M17" s="28"/>
      <c r="N17" s="29"/>
      <c r="P17" s="37"/>
      <c r="Q17" s="36"/>
      <c r="R17" s="36"/>
      <c r="S17" s="36"/>
      <c r="T17" s="36"/>
      <c r="U17" s="36"/>
      <c r="V17" s="36"/>
      <c r="W17" s="36"/>
      <c r="X17" s="36"/>
      <c r="Y17" s="36"/>
      <c r="Z17" s="36"/>
      <c r="AA17" s="36"/>
    </row>
    <row r="18" spans="1:27" x14ac:dyDescent="0.25">
      <c r="A18" s="81" t="s">
        <v>68</v>
      </c>
      <c r="B18" s="82"/>
      <c r="C18" s="1" t="s">
        <v>69</v>
      </c>
      <c r="E18" s="26">
        <f t="shared" si="0"/>
        <v>2025</v>
      </c>
      <c r="F18" s="26"/>
      <c r="G18" s="26"/>
      <c r="H18" s="26"/>
      <c r="I18" s="3"/>
      <c r="J18" s="335"/>
      <c r="K18" s="336"/>
      <c r="L18" s="336"/>
      <c r="M18" s="336"/>
      <c r="N18" s="337"/>
      <c r="P18" s="37"/>
      <c r="Q18" s="36"/>
      <c r="R18" s="36"/>
      <c r="S18" s="36"/>
      <c r="T18" s="36"/>
      <c r="U18" s="36"/>
      <c r="V18" s="36"/>
      <c r="W18" s="36"/>
      <c r="X18" s="36"/>
      <c r="Y18" s="36"/>
      <c r="Z18" s="36"/>
      <c r="AA18" s="36"/>
    </row>
    <row r="19" spans="1:27" ht="21" customHeight="1" x14ac:dyDescent="0.25">
      <c r="A19" s="81" t="s">
        <v>67</v>
      </c>
      <c r="B19" s="81"/>
      <c r="C19" s="1" t="s">
        <v>70</v>
      </c>
      <c r="E19" s="26">
        <f t="shared" si="0"/>
        <v>2026</v>
      </c>
      <c r="F19" s="26"/>
      <c r="G19" s="26"/>
      <c r="H19" s="26"/>
      <c r="I19" s="3"/>
      <c r="J19" s="338"/>
      <c r="K19" s="339"/>
      <c r="L19" s="339"/>
      <c r="M19" s="339"/>
      <c r="N19" s="340"/>
      <c r="P19" s="37"/>
      <c r="Q19" s="36"/>
      <c r="R19" s="36"/>
      <c r="S19" s="36"/>
      <c r="T19" s="36"/>
      <c r="U19" s="36"/>
      <c r="V19" s="36"/>
      <c r="W19" s="36"/>
      <c r="X19" s="36"/>
      <c r="Y19" s="36"/>
      <c r="Z19" s="36"/>
      <c r="AA19" s="36"/>
    </row>
    <row r="20" spans="1:27" ht="48.75" customHeight="1" x14ac:dyDescent="0.25">
      <c r="A20" s="3" t="s">
        <v>98</v>
      </c>
      <c r="B20" s="83" t="s">
        <v>134</v>
      </c>
      <c r="C20" s="1" t="s">
        <v>58</v>
      </c>
      <c r="E20" s="26">
        <f t="shared" si="0"/>
        <v>2027</v>
      </c>
      <c r="F20" s="26"/>
      <c r="G20" s="26"/>
      <c r="H20" s="26"/>
      <c r="I20" s="3"/>
      <c r="J20" s="341"/>
      <c r="K20" s="342"/>
      <c r="L20" s="342"/>
      <c r="M20" s="342"/>
      <c r="N20" s="343"/>
      <c r="P20" s="37"/>
      <c r="Q20" s="36"/>
      <c r="R20" s="36"/>
      <c r="S20" s="36"/>
      <c r="T20" s="36"/>
      <c r="U20" s="36"/>
      <c r="V20" s="36"/>
      <c r="W20" s="36"/>
      <c r="X20" s="36"/>
      <c r="Y20" s="36"/>
      <c r="Z20" s="36"/>
      <c r="AA20" s="36"/>
    </row>
    <row r="21" spans="1:27" x14ac:dyDescent="0.25">
      <c r="A21" s="3" t="s">
        <v>5</v>
      </c>
      <c r="B21" s="16"/>
      <c r="C21" s="1" t="s">
        <v>6</v>
      </c>
      <c r="E21" s="26">
        <f t="shared" si="0"/>
        <v>2028</v>
      </c>
      <c r="F21" s="26"/>
      <c r="G21" s="26"/>
      <c r="H21" s="26"/>
      <c r="I21" s="3"/>
      <c r="P21" s="37"/>
      <c r="Q21" s="36"/>
      <c r="R21" s="36"/>
      <c r="S21" s="36"/>
      <c r="T21" s="36"/>
      <c r="U21" s="36"/>
      <c r="V21" s="36"/>
      <c r="W21" s="36"/>
      <c r="X21" s="36"/>
      <c r="Y21" s="36"/>
      <c r="Z21" s="36"/>
      <c r="AA21" s="36"/>
    </row>
    <row r="22" spans="1:27" ht="34.5" customHeight="1" x14ac:dyDescent="0.25">
      <c r="A22" s="3" t="s">
        <v>55</v>
      </c>
      <c r="B22" s="17" t="s">
        <v>191</v>
      </c>
      <c r="C22" s="1" t="s">
        <v>54</v>
      </c>
      <c r="E22" s="26">
        <f t="shared" si="0"/>
        <v>2029</v>
      </c>
      <c r="F22" s="26"/>
      <c r="G22" s="26"/>
      <c r="H22" s="26"/>
      <c r="I22" s="3"/>
      <c r="J22" s="344" t="s">
        <v>96</v>
      </c>
      <c r="K22" s="345"/>
      <c r="L22" s="345"/>
      <c r="M22" s="345"/>
      <c r="N22" s="345"/>
      <c r="P22" s="36"/>
      <c r="Q22" s="36"/>
      <c r="R22" s="36"/>
      <c r="S22" s="36"/>
      <c r="T22" s="36"/>
      <c r="U22" s="36"/>
      <c r="V22" s="36"/>
      <c r="W22" s="36"/>
      <c r="X22" s="36"/>
      <c r="Y22" s="36"/>
      <c r="Z22" s="36"/>
      <c r="AA22" s="36"/>
    </row>
    <row r="23" spans="1:27" ht="30.75" customHeight="1" x14ac:dyDescent="0.25">
      <c r="A23" s="3" t="s">
        <v>56</v>
      </c>
      <c r="B23" s="16">
        <v>1500000</v>
      </c>
      <c r="C23" s="1" t="s">
        <v>57</v>
      </c>
      <c r="E23" s="26">
        <f t="shared" si="0"/>
        <v>2030</v>
      </c>
      <c r="F23" s="26"/>
      <c r="G23" s="26"/>
      <c r="H23" s="26"/>
      <c r="I23" s="3"/>
      <c r="J23" s="344"/>
      <c r="K23" s="345"/>
      <c r="L23" s="345"/>
      <c r="M23" s="345"/>
      <c r="N23" s="345"/>
      <c r="P23" s="36"/>
      <c r="Q23" s="36"/>
      <c r="R23" s="36"/>
      <c r="S23" s="36"/>
      <c r="T23" s="36"/>
      <c r="U23" s="36"/>
      <c r="V23" s="36"/>
      <c r="W23" s="36"/>
      <c r="X23" s="36"/>
      <c r="Y23" s="36"/>
      <c r="Z23" s="36"/>
      <c r="AA23" s="36"/>
    </row>
    <row r="24" spans="1:27" x14ac:dyDescent="0.25">
      <c r="A24" s="12"/>
      <c r="B24" s="13"/>
      <c r="E24" s="26">
        <f t="shared" si="0"/>
        <v>2031</v>
      </c>
      <c r="F24" s="26"/>
      <c r="G24" s="26"/>
      <c r="H24" s="26"/>
      <c r="I24" s="3"/>
      <c r="J24" s="344"/>
      <c r="K24" s="345"/>
      <c r="L24" s="345"/>
      <c r="M24" s="345"/>
      <c r="N24" s="345"/>
      <c r="P24" s="36"/>
      <c r="Q24" s="36"/>
      <c r="R24" s="36"/>
      <c r="S24" s="36"/>
      <c r="T24" s="36"/>
      <c r="U24" s="36"/>
      <c r="V24" s="36"/>
      <c r="W24" s="36"/>
      <c r="X24" s="36"/>
      <c r="Y24" s="36"/>
      <c r="Z24" s="36"/>
      <c r="AA24" s="36"/>
    </row>
    <row r="25" spans="1:27" x14ac:dyDescent="0.25">
      <c r="A25" s="346" t="s">
        <v>71</v>
      </c>
      <c r="B25" s="346"/>
      <c r="E25" s="26">
        <f t="shared" si="0"/>
        <v>2032</v>
      </c>
      <c r="F25" s="26"/>
      <c r="G25" s="26"/>
      <c r="H25" s="26"/>
      <c r="I25" s="3"/>
      <c r="P25" s="36"/>
      <c r="Q25" s="36"/>
      <c r="R25" s="36"/>
      <c r="S25" s="36"/>
      <c r="T25" s="36"/>
      <c r="U25" s="36"/>
      <c r="V25" s="36"/>
      <c r="W25" s="36"/>
      <c r="X25" s="36"/>
      <c r="Y25" s="36"/>
      <c r="Z25" s="36"/>
      <c r="AA25" s="36"/>
    </row>
    <row r="26" spans="1:27" x14ac:dyDescent="0.25">
      <c r="A26" s="3" t="s">
        <v>28</v>
      </c>
      <c r="B26" s="3" t="s">
        <v>361</v>
      </c>
      <c r="E26" s="26">
        <f t="shared" si="0"/>
        <v>2033</v>
      </c>
      <c r="F26" s="26"/>
      <c r="G26" s="26"/>
      <c r="H26" s="26"/>
      <c r="I26" s="3"/>
      <c r="P26" s="36"/>
      <c r="Q26" s="36"/>
      <c r="R26" s="36"/>
      <c r="S26" s="36"/>
      <c r="T26" s="36"/>
      <c r="U26" s="36"/>
      <c r="V26" s="36"/>
      <c r="W26" s="36"/>
      <c r="X26" s="36"/>
      <c r="Y26" s="36"/>
      <c r="Z26" s="36"/>
      <c r="AA26" s="36"/>
    </row>
    <row r="27" spans="1:27" x14ac:dyDescent="0.25">
      <c r="A27" s="3" t="s">
        <v>29</v>
      </c>
      <c r="B27" s="3"/>
      <c r="E27" s="26">
        <f t="shared" si="0"/>
        <v>2034</v>
      </c>
      <c r="F27" s="26"/>
      <c r="G27" s="26"/>
      <c r="H27" s="26"/>
      <c r="I27" s="3"/>
      <c r="P27" s="36"/>
      <c r="Q27" s="36"/>
      <c r="R27" s="36"/>
      <c r="S27" s="36"/>
      <c r="T27" s="36"/>
      <c r="U27" s="36"/>
      <c r="V27" s="36"/>
      <c r="W27" s="36"/>
      <c r="X27" s="36"/>
      <c r="Y27" s="36"/>
      <c r="Z27" s="36"/>
      <c r="AA27" s="36"/>
    </row>
    <row r="28" spans="1:27" ht="39.75" customHeight="1" x14ac:dyDescent="0.25">
      <c r="A28" s="3" t="s">
        <v>30</v>
      </c>
      <c r="B28" s="17"/>
      <c r="C28" s="1" t="s">
        <v>43</v>
      </c>
      <c r="E28" s="26">
        <f t="shared" si="0"/>
        <v>2035</v>
      </c>
      <c r="F28" s="26"/>
      <c r="G28" s="26"/>
      <c r="H28" s="26"/>
      <c r="I28" s="3"/>
      <c r="P28" s="36"/>
      <c r="Q28" s="36"/>
      <c r="R28" s="36"/>
      <c r="S28" s="36"/>
      <c r="T28" s="36"/>
      <c r="U28" s="36"/>
      <c r="V28" s="36"/>
      <c r="W28" s="36"/>
      <c r="X28" s="36"/>
      <c r="Y28" s="36"/>
      <c r="Z28" s="36"/>
      <c r="AA28" s="36"/>
    </row>
    <row r="29" spans="1:27" x14ac:dyDescent="0.25">
      <c r="A29" s="3" t="s">
        <v>44</v>
      </c>
      <c r="B29" s="3"/>
      <c r="E29" s="26">
        <f t="shared" si="0"/>
        <v>2036</v>
      </c>
      <c r="F29" s="26"/>
      <c r="G29" s="26"/>
      <c r="H29" s="26"/>
      <c r="I29" s="3"/>
      <c r="P29" s="36"/>
      <c r="Q29" s="36"/>
      <c r="R29" s="36"/>
      <c r="S29" s="36"/>
      <c r="T29" s="36"/>
      <c r="U29" s="36"/>
      <c r="V29" s="36"/>
      <c r="W29" s="36"/>
      <c r="X29" s="36"/>
      <c r="Y29" s="36"/>
      <c r="Z29" s="36"/>
      <c r="AA29" s="36"/>
    </row>
    <row r="30" spans="1:27" x14ac:dyDescent="0.25">
      <c r="A30" s="3" t="s">
        <v>47</v>
      </c>
      <c r="B30" s="3"/>
      <c r="E30" s="26">
        <f t="shared" si="0"/>
        <v>2037</v>
      </c>
      <c r="F30" s="26"/>
      <c r="G30" s="26"/>
      <c r="H30" s="26"/>
      <c r="I30" s="3"/>
      <c r="P30" s="36"/>
      <c r="Q30" s="36"/>
      <c r="R30" s="36"/>
      <c r="S30" s="36"/>
      <c r="T30" s="36"/>
      <c r="U30" s="36"/>
      <c r="V30" s="36"/>
      <c r="W30" s="36"/>
      <c r="X30" s="36"/>
      <c r="Y30" s="36"/>
      <c r="Z30" s="36"/>
      <c r="AA30" s="36"/>
    </row>
    <row r="31" spans="1:27" x14ac:dyDescent="0.25">
      <c r="A31" s="3" t="s">
        <v>45</v>
      </c>
      <c r="B31" s="3"/>
      <c r="P31" s="36"/>
      <c r="Q31" s="36"/>
      <c r="R31" s="36"/>
      <c r="S31" s="36"/>
      <c r="T31" s="36"/>
      <c r="U31" s="36"/>
      <c r="V31" s="36"/>
      <c r="W31" s="36"/>
      <c r="X31" s="36"/>
      <c r="Y31" s="36"/>
      <c r="Z31" s="36"/>
      <c r="AA31" s="36"/>
    </row>
    <row r="32" spans="1:27" x14ac:dyDescent="0.25">
      <c r="A32" s="3" t="s">
        <v>46</v>
      </c>
      <c r="B32" s="3"/>
    </row>
    <row r="33" spans="1:3" ht="18" customHeight="1" x14ac:dyDescent="0.25">
      <c r="A33" s="84"/>
    </row>
    <row r="38" spans="1:3" x14ac:dyDescent="0.25">
      <c r="C38" s="113"/>
    </row>
    <row r="57" customFormat="1" x14ac:dyDescent="0.25"/>
  </sheetData>
  <mergeCells count="9">
    <mergeCell ref="J18:N20"/>
    <mergeCell ref="J22:N24"/>
    <mergeCell ref="A25:B25"/>
    <mergeCell ref="D1:H1"/>
    <mergeCell ref="A6:B6"/>
    <mergeCell ref="E9:H9"/>
    <mergeCell ref="J10:N11"/>
    <mergeCell ref="J12:N16"/>
    <mergeCell ref="B15:B16"/>
  </mergeCells>
  <pageMargins left="0.7" right="0.7" top="0.75" bottom="0.75" header="0.3" footer="0.3"/>
  <pageSetup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580</v>
      </c>
      <c r="B1" s="45"/>
      <c r="D1" s="347" t="s">
        <v>653</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90.75" customHeight="1" x14ac:dyDescent="0.25">
      <c r="A8" s="3" t="s">
        <v>2</v>
      </c>
      <c r="B8" s="180" t="s">
        <v>651</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527</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579</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5.5" customHeight="1" x14ac:dyDescent="0.25">
      <c r="A7" s="3" t="s">
        <v>0</v>
      </c>
      <c r="B7" s="3"/>
    </row>
    <row r="8" spans="1:27" ht="116.25" customHeight="1" x14ac:dyDescent="0.25">
      <c r="A8" s="3" t="s">
        <v>2</v>
      </c>
      <c r="B8" s="211" t="s">
        <v>654</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1250000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191</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8861-D30C-4B01-9030-E8EDEC7BBBFE}">
  <sheetPr>
    <tabColor rgb="FF0070C0"/>
    <pageSetUpPr fitToPage="1"/>
  </sheetPr>
  <dimension ref="A1:AA57"/>
  <sheetViews>
    <sheetView topLeftCell="A8" zoomScale="85" zoomScaleNormal="85" workbookViewId="0">
      <selection activeCell="C8" sqref="C8"/>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896</v>
      </c>
      <c r="B1" s="45"/>
      <c r="D1" s="347" t="s">
        <v>648</v>
      </c>
      <c r="E1" s="348"/>
      <c r="F1" s="348"/>
      <c r="G1" s="348"/>
      <c r="H1" s="349"/>
    </row>
    <row r="2" spans="1:27" x14ac:dyDescent="0.25">
      <c r="A2" s="272" t="s">
        <v>895</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362.25" x14ac:dyDescent="0.25">
      <c r="A8" s="3" t="s">
        <v>238</v>
      </c>
      <c r="B8" s="306" t="s">
        <v>897</v>
      </c>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7000000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191</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305"/>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542</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132.75" customHeight="1" x14ac:dyDescent="0.25">
      <c r="A8" s="3" t="s">
        <v>2</v>
      </c>
      <c r="B8" s="180" t="s">
        <v>656</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655</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t="s">
        <v>204</v>
      </c>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191</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581</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100.5" customHeight="1" x14ac:dyDescent="0.25">
      <c r="A8" s="3" t="s">
        <v>2</v>
      </c>
      <c r="B8" s="180" t="s">
        <v>676</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1500000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528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536</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100.5" customHeight="1" x14ac:dyDescent="0.25">
      <c r="A8" s="3" t="s">
        <v>2</v>
      </c>
      <c r="B8" s="180" t="s">
        <v>657</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2500000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553</v>
      </c>
      <c r="B1" s="45"/>
      <c r="D1" s="347" t="s">
        <v>662</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81.75" customHeight="1" x14ac:dyDescent="0.25">
      <c r="A8" s="3" t="s">
        <v>2</v>
      </c>
      <c r="B8" s="180" t="s">
        <v>661</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750000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583</v>
      </c>
      <c r="B1" s="45"/>
      <c r="D1" s="347" t="s">
        <v>663</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A5" s="205" t="s">
        <v>134</v>
      </c>
      <c r="C5" s="1" t="s">
        <v>31</v>
      </c>
    </row>
    <row r="6" spans="1:27" x14ac:dyDescent="0.25">
      <c r="A6" s="350" t="s">
        <v>10</v>
      </c>
      <c r="B6" s="351"/>
    </row>
    <row r="7" spans="1:27" ht="21" customHeight="1" x14ac:dyDescent="0.25">
      <c r="A7" s="3" t="s">
        <v>0</v>
      </c>
      <c r="B7" s="3"/>
    </row>
    <row r="8" spans="1:27" ht="136.5" customHeight="1" x14ac:dyDescent="0.25">
      <c r="A8" s="3" t="s">
        <v>2</v>
      </c>
      <c r="B8" s="180" t="s">
        <v>664</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547</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84.75" customHeight="1" x14ac:dyDescent="0.25">
      <c r="A8" s="3" t="s">
        <v>2</v>
      </c>
      <c r="B8" s="115" t="s">
        <v>665</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1500000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577</v>
      </c>
      <c r="B1" s="45"/>
      <c r="D1" s="347" t="s">
        <v>668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334.5" customHeight="1" x14ac:dyDescent="0.25">
      <c r="A8" s="3" t="s">
        <v>2</v>
      </c>
      <c r="B8" s="85" t="s">
        <v>677</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3620000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539</v>
      </c>
      <c r="B1" s="45"/>
      <c r="D1" s="347" t="s">
        <v>667</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87" customHeight="1" x14ac:dyDescent="0.25">
      <c r="A8" s="3" t="s">
        <v>2</v>
      </c>
      <c r="B8" s="86" t="s">
        <v>666</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4500000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546</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60" customHeight="1" x14ac:dyDescent="0.25">
      <c r="A8" s="3" t="s">
        <v>2</v>
      </c>
      <c r="B8" s="180" t="s">
        <v>672</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7276000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544</v>
      </c>
      <c r="B1" s="45"/>
      <c r="D1" s="347" t="s">
        <v>648</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45.75" customHeight="1" x14ac:dyDescent="0.25">
      <c r="A8" s="3" t="s">
        <v>2</v>
      </c>
      <c r="B8" s="180" t="s">
        <v>673</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3300000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A593-3AC0-4671-B65D-01D04682A0E4}">
  <sheetPr>
    <tabColor rgb="FF0070C0"/>
    <pageSetUpPr fitToPage="1"/>
  </sheetPr>
  <dimension ref="A1:AA57"/>
  <sheetViews>
    <sheetView zoomScale="64" zoomScaleNormal="160" workbookViewId="0">
      <selection activeCell="A8" sqref="A8"/>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900</v>
      </c>
      <c r="B1" s="45"/>
      <c r="D1" s="347" t="s">
        <v>648</v>
      </c>
      <c r="E1" s="348"/>
      <c r="F1" s="348"/>
      <c r="G1" s="348"/>
      <c r="H1" s="349"/>
    </row>
    <row r="2" spans="1:27" x14ac:dyDescent="0.25">
      <c r="A2" s="272" t="s">
        <v>895</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236.25" x14ac:dyDescent="0.25">
      <c r="A8" s="3" t="s">
        <v>238</v>
      </c>
      <c r="B8" s="306" t="s">
        <v>901</v>
      </c>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7000000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191</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305"/>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59999389629810485"/>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545</v>
      </c>
      <c r="B1" s="45"/>
      <c r="D1" s="347" t="s">
        <v>675</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137.25" customHeight="1" x14ac:dyDescent="0.25">
      <c r="A8" s="3" t="s">
        <v>2</v>
      </c>
      <c r="B8" s="180" t="s">
        <v>674</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500000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tint="0.59999389629810485"/>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 style="121" customWidth="1"/>
  </cols>
  <sheetData>
    <row r="1" spans="1:27" ht="58.9" customHeight="1" x14ac:dyDescent="0.3">
      <c r="A1" s="114" t="s">
        <v>489</v>
      </c>
      <c r="B1" s="45"/>
      <c r="C1" s="347" t="s">
        <v>494</v>
      </c>
      <c r="D1" s="348"/>
      <c r="E1" s="348"/>
      <c r="F1" s="348"/>
      <c r="G1" s="349"/>
    </row>
    <row r="2" spans="1:27" x14ac:dyDescent="0.25">
      <c r="A2" s="58" t="s">
        <v>460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490</v>
      </c>
    </row>
    <row r="8" spans="1:27" ht="117.75" customHeight="1" x14ac:dyDescent="0.25">
      <c r="A8" s="3" t="s">
        <v>2</v>
      </c>
      <c r="B8" s="116" t="s">
        <v>497</v>
      </c>
    </row>
    <row r="9" spans="1:27" ht="136.9" customHeight="1" x14ac:dyDescent="0.25">
      <c r="A9" s="3" t="s">
        <v>238</v>
      </c>
      <c r="B9" s="174" t="s">
        <v>498</v>
      </c>
      <c r="E9" s="352" t="s">
        <v>100</v>
      </c>
      <c r="F9" s="352"/>
      <c r="G9" s="352"/>
      <c r="H9" s="352"/>
      <c r="I9" s="352"/>
    </row>
    <row r="10" spans="1:27" ht="15.75" thickBot="1" x14ac:dyDescent="0.3">
      <c r="A10" s="3" t="s">
        <v>1</v>
      </c>
      <c r="B10" s="3"/>
      <c r="C10" s="1" t="s">
        <v>48</v>
      </c>
      <c r="E10" s="353" t="s">
        <v>53</v>
      </c>
      <c r="F10" s="354"/>
      <c r="G10" s="354"/>
      <c r="H10" s="355"/>
      <c r="I10" s="3">
        <f>B15</f>
        <v>0</v>
      </c>
      <c r="J10" t="s">
        <v>74</v>
      </c>
      <c r="P10" s="36" t="s">
        <v>76</v>
      </c>
      <c r="Q10" s="36"/>
      <c r="R10" s="36"/>
      <c r="S10" s="36"/>
      <c r="T10" s="36"/>
      <c r="U10" s="36"/>
      <c r="V10" s="36"/>
      <c r="W10" s="36"/>
      <c r="X10" s="36"/>
      <c r="Y10" s="36"/>
      <c r="Z10" s="36"/>
      <c r="AA10" s="36"/>
    </row>
    <row r="11" spans="1:27" ht="48" customHeight="1" thickBot="1" x14ac:dyDescent="0.3">
      <c r="A11" s="3" t="s">
        <v>4</v>
      </c>
      <c r="B11" s="3" t="s">
        <v>492</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493</v>
      </c>
      <c r="E12" s="26">
        <v>2014</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f t="shared" ref="E13:E31" si="0">+E12+1</f>
        <v>2015</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f t="shared" si="0"/>
        <v>2016</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f t="shared" si="0"/>
        <v>2017</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1" t="s">
        <v>41</v>
      </c>
      <c r="B16" s="117"/>
      <c r="E16" s="26">
        <f t="shared" si="0"/>
        <v>2018</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1" t="s">
        <v>7</v>
      </c>
      <c r="B17" s="88"/>
      <c r="C17" s="1" t="s">
        <v>21</v>
      </c>
      <c r="E17" s="26">
        <f t="shared" si="0"/>
        <v>2019</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499</v>
      </c>
      <c r="B18" s="81"/>
      <c r="C18" s="1" t="s">
        <v>73</v>
      </c>
      <c r="E18" s="26">
        <f t="shared" si="0"/>
        <v>2020</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f t="shared" si="0"/>
        <v>2021</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f t="shared" si="0"/>
        <v>2022</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137" t="s">
        <v>491</v>
      </c>
      <c r="C21" s="1" t="s">
        <v>58</v>
      </c>
      <c r="E21" s="26">
        <f t="shared" si="0"/>
        <v>2023</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t="s">
        <v>290</v>
      </c>
      <c r="C22" s="1" t="s">
        <v>6</v>
      </c>
      <c r="E22" s="26">
        <f t="shared" si="0"/>
        <v>2024</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f t="shared" si="0"/>
        <v>2025</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f t="shared" si="0"/>
        <v>2026</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f t="shared" si="0"/>
        <v>2027</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f t="shared" si="0"/>
        <v>2028</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f t="shared" si="0"/>
        <v>2029</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f t="shared" si="0"/>
        <v>2030</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f t="shared" si="0"/>
        <v>2031</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f t="shared" si="0"/>
        <v>2032</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f t="shared" si="0"/>
        <v>2033</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3.5" customHeight="1" x14ac:dyDescent="0.25">
      <c r="A34" s="84"/>
    </row>
    <row r="57" spans="3:8" customFormat="1" x14ac:dyDescent="0.25">
      <c r="C57" s="1"/>
      <c r="E57" s="20"/>
      <c r="F57" s="20"/>
      <c r="G57" s="20"/>
      <c r="H57" s="20"/>
    </row>
    <row r="58" spans="3:8" customFormat="1" x14ac:dyDescent="0.25"/>
  </sheetData>
  <mergeCells count="9">
    <mergeCell ref="J19:N21"/>
    <mergeCell ref="J23:N25"/>
    <mergeCell ref="A26:B26"/>
    <mergeCell ref="C1:G1"/>
    <mergeCell ref="A6:B6"/>
    <mergeCell ref="E9:I9"/>
    <mergeCell ref="E10:H10"/>
    <mergeCell ref="J11:N12"/>
    <mergeCell ref="J13:N17"/>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8" tint="0.59999389629810485"/>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3">
      <c r="A1" s="111" t="s">
        <v>425</v>
      </c>
      <c r="B1" s="45"/>
      <c r="C1" s="378" t="s">
        <v>510</v>
      </c>
      <c r="D1" s="379"/>
      <c r="E1" s="379"/>
      <c r="F1" s="379"/>
      <c r="G1" s="380"/>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153" t="s">
        <v>435</v>
      </c>
    </row>
    <row r="8" spans="1:27" ht="213" customHeight="1" x14ac:dyDescent="0.25">
      <c r="A8" s="3" t="s">
        <v>2</v>
      </c>
      <c r="B8" s="167" t="s">
        <v>437</v>
      </c>
      <c r="E8" s="352" t="s">
        <v>100</v>
      </c>
      <c r="F8" s="352"/>
      <c r="G8" s="352"/>
      <c r="H8" s="352"/>
      <c r="I8" s="352"/>
    </row>
    <row r="9" spans="1:27" ht="15.75" thickBot="1" x14ac:dyDescent="0.3">
      <c r="A9" s="3" t="s">
        <v>1</v>
      </c>
      <c r="B9" s="15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153" t="s">
        <v>102</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11" t="s">
        <v>429</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1"/>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11"/>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47"/>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89"/>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3" customHeight="1" x14ac:dyDescent="0.25">
      <c r="A16" s="80" t="s">
        <v>7</v>
      </c>
      <c r="B16" s="390"/>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16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168"/>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16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169" t="s">
        <v>290</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t="s">
        <v>436</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0"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ht="15.75" customHeight="1" x14ac:dyDescent="0.25">
      <c r="A33" s="84"/>
    </row>
    <row r="34" spans="1:2" x14ac:dyDescent="0.25">
      <c r="B34" s="58"/>
    </row>
    <row r="35" spans="1:2" x14ac:dyDescent="0.25">
      <c r="A35" s="58"/>
      <c r="B35" s="58"/>
    </row>
    <row r="36" spans="1:2" x14ac:dyDescent="0.25">
      <c r="A36" s="58"/>
      <c r="B36" s="58"/>
    </row>
    <row r="37" spans="1:2" x14ac:dyDescent="0.25">
      <c r="A37" s="58"/>
      <c r="B37" s="152"/>
    </row>
    <row r="38" spans="1:2" x14ac:dyDescent="0.25">
      <c r="A38" s="58"/>
      <c r="B38" s="152"/>
    </row>
    <row r="39" spans="1:2" x14ac:dyDescent="0.25">
      <c r="A39" s="58"/>
      <c r="B39" s="152"/>
    </row>
    <row r="40" spans="1:2" x14ac:dyDescent="0.25">
      <c r="A40" s="58"/>
      <c r="B40" s="152"/>
    </row>
    <row r="41" spans="1:2" x14ac:dyDescent="0.25">
      <c r="A41" s="58"/>
      <c r="B41" s="152"/>
    </row>
    <row r="42" spans="1:2" x14ac:dyDescent="0.25">
      <c r="A42" s="58"/>
      <c r="B42" s="152"/>
    </row>
    <row r="56" customFormat="1" x14ac:dyDescent="0.25"/>
    <row r="57" customFormat="1" x14ac:dyDescent="0.25"/>
  </sheetData>
  <mergeCells count="10">
    <mergeCell ref="J18:N20"/>
    <mergeCell ref="J22:N24"/>
    <mergeCell ref="A25:B25"/>
    <mergeCell ref="C1:G1"/>
    <mergeCell ref="A6:B6"/>
    <mergeCell ref="E8:I8"/>
    <mergeCell ref="E9:H9"/>
    <mergeCell ref="J10:N11"/>
    <mergeCell ref="J12:N16"/>
    <mergeCell ref="B15:B1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8" tint="0.59999389629810485"/>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3">
      <c r="A1" s="111" t="s">
        <v>511</v>
      </c>
      <c r="B1" s="45"/>
      <c r="C1" s="378" t="s">
        <v>505</v>
      </c>
      <c r="D1" s="379"/>
      <c r="E1" s="379"/>
      <c r="F1" s="379"/>
      <c r="G1" s="380"/>
    </row>
    <row r="2" spans="1:27" x14ac:dyDescent="0.25">
      <c r="A2" s="58"/>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153" t="str">
        <f>+A1</f>
        <v>North St. Albans to Sheldon  (Line 137)</v>
      </c>
    </row>
    <row r="8" spans="1:27" ht="93.6" customHeight="1" x14ac:dyDescent="0.25">
      <c r="A8" s="3" t="s">
        <v>2</v>
      </c>
      <c r="B8" s="167" t="s">
        <v>512</v>
      </c>
      <c r="E8" s="352" t="s">
        <v>100</v>
      </c>
      <c r="F8" s="352"/>
      <c r="G8" s="352"/>
      <c r="H8" s="352"/>
      <c r="I8" s="352"/>
    </row>
    <row r="9" spans="1:27" ht="15.75" thickBot="1" x14ac:dyDescent="0.3">
      <c r="A9" s="3" t="s">
        <v>1</v>
      </c>
      <c r="B9" s="153"/>
      <c r="C9" s="1" t="s">
        <v>48</v>
      </c>
      <c r="E9" s="353" t="s">
        <v>53</v>
      </c>
      <c r="F9" s="354"/>
      <c r="G9" s="354"/>
      <c r="H9" s="355"/>
      <c r="I9" s="3" t="str">
        <f>B14</f>
        <v>N/A</v>
      </c>
      <c r="J9" t="s">
        <v>74</v>
      </c>
      <c r="P9" s="36" t="s">
        <v>76</v>
      </c>
      <c r="Q9" s="36"/>
      <c r="R9" s="36"/>
      <c r="S9" s="36"/>
      <c r="T9" s="36"/>
      <c r="U9" s="36"/>
      <c r="V9" s="36"/>
      <c r="W9" s="36"/>
      <c r="X9" s="36"/>
      <c r="Y9" s="36"/>
      <c r="Z9" s="36"/>
      <c r="AA9" s="36"/>
    </row>
    <row r="10" spans="1:27" ht="48" customHeight="1" thickBot="1" x14ac:dyDescent="0.3">
      <c r="A10" s="3" t="s">
        <v>4</v>
      </c>
      <c r="B10" s="153" t="s">
        <v>483</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11"/>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1"/>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11"/>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47" t="s">
        <v>116</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76"/>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369.75" customHeight="1" x14ac:dyDescent="0.25">
      <c r="A16" s="80" t="s">
        <v>7</v>
      </c>
      <c r="B16" s="382"/>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169" t="s">
        <v>506</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t="s">
        <v>290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0"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ht="15.75" customHeight="1" x14ac:dyDescent="0.25">
      <c r="A33" s="84"/>
    </row>
    <row r="34" spans="1:2" x14ac:dyDescent="0.25">
      <c r="B34" s="58"/>
    </row>
    <row r="35" spans="1:2" x14ac:dyDescent="0.25">
      <c r="A35" s="58"/>
      <c r="B35" s="58"/>
    </row>
    <row r="36" spans="1:2" x14ac:dyDescent="0.25">
      <c r="A36" s="58"/>
      <c r="B36" s="58"/>
    </row>
    <row r="37" spans="1:2" x14ac:dyDescent="0.25">
      <c r="A37" s="58"/>
      <c r="B37" s="152"/>
    </row>
    <row r="38" spans="1:2" x14ac:dyDescent="0.25">
      <c r="A38" s="58"/>
      <c r="B38" s="152"/>
    </row>
    <row r="39" spans="1:2" x14ac:dyDescent="0.25">
      <c r="A39" s="58"/>
      <c r="B39" s="152"/>
    </row>
    <row r="40" spans="1:2" x14ac:dyDescent="0.25">
      <c r="A40" s="58"/>
      <c r="B40" s="152"/>
    </row>
    <row r="41" spans="1:2" x14ac:dyDescent="0.25">
      <c r="A41" s="58"/>
      <c r="B41" s="152"/>
    </row>
    <row r="42" spans="1:2" x14ac:dyDescent="0.25">
      <c r="A42" s="58"/>
      <c r="B42" s="152"/>
    </row>
    <row r="56" customFormat="1" x14ac:dyDescent="0.25"/>
    <row r="57" customFormat="1" x14ac:dyDescent="0.25"/>
  </sheetData>
  <mergeCells count="10">
    <mergeCell ref="J18:N20"/>
    <mergeCell ref="J22:N24"/>
    <mergeCell ref="A25:B25"/>
    <mergeCell ref="C1:G1"/>
    <mergeCell ref="A6:B6"/>
    <mergeCell ref="E8:I8"/>
    <mergeCell ref="E9:H9"/>
    <mergeCell ref="J10:N11"/>
    <mergeCell ref="J12:N16"/>
    <mergeCell ref="B15:B16"/>
  </mergeCells>
  <pageMargins left="0.7" right="0.7" top="0.75" bottom="0.75" header="0.3" footer="0.3"/>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59999389629810485"/>
  </sheetPr>
  <dimension ref="A1:AA58"/>
  <sheetViews>
    <sheetView zoomScale="80" zoomScaleNormal="80" workbookViewId="0">
      <selection activeCell="B21" sqref="B21"/>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 style="121" customWidth="1"/>
  </cols>
  <sheetData>
    <row r="1" spans="1:27" ht="57" customHeight="1" x14ac:dyDescent="0.3">
      <c r="A1" s="114" t="s">
        <v>291</v>
      </c>
      <c r="B1" s="45"/>
      <c r="C1" s="391" t="s">
        <v>507</v>
      </c>
      <c r="D1" s="392"/>
      <c r="E1" s="392"/>
      <c r="F1" s="392"/>
      <c r="G1" s="393"/>
    </row>
    <row r="2" spans="1:27" x14ac:dyDescent="0.25">
      <c r="A2" s="58" t="s">
        <v>460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291</v>
      </c>
    </row>
    <row r="8" spans="1:27" ht="57.75" customHeight="1" x14ac:dyDescent="0.25">
      <c r="A8" s="3" t="s">
        <v>2</v>
      </c>
      <c r="B8" s="116" t="s">
        <v>401</v>
      </c>
    </row>
    <row r="9" spans="1:27" ht="206.25" customHeight="1" x14ac:dyDescent="0.25">
      <c r="A9" s="3" t="s">
        <v>238</v>
      </c>
      <c r="B9" s="116" t="s">
        <v>302</v>
      </c>
      <c r="E9" s="352" t="s">
        <v>100</v>
      </c>
      <c r="F9" s="352"/>
      <c r="G9" s="352"/>
      <c r="H9" s="352"/>
      <c r="I9" s="352"/>
    </row>
    <row r="10" spans="1:27" ht="15.75" thickBot="1" x14ac:dyDescent="0.3">
      <c r="A10" s="3" t="s">
        <v>1</v>
      </c>
      <c r="B10" s="3" t="s">
        <v>269</v>
      </c>
      <c r="C10" s="1" t="s">
        <v>48</v>
      </c>
      <c r="E10" s="353" t="s">
        <v>53</v>
      </c>
      <c r="F10" s="354"/>
      <c r="G10" s="354"/>
      <c r="H10" s="355"/>
      <c r="I10" s="3" t="str">
        <f>B15</f>
        <v>Transformer Max 14 MVA  : Combined WRJ and Wilder Loads &gt;20 MVA</v>
      </c>
      <c r="J10" t="s">
        <v>74</v>
      </c>
      <c r="P10" s="36" t="s">
        <v>76</v>
      </c>
      <c r="Q10" s="36"/>
      <c r="R10" s="36"/>
      <c r="S10" s="36"/>
      <c r="T10" s="36"/>
      <c r="U10" s="36"/>
      <c r="V10" s="36"/>
      <c r="W10" s="36"/>
      <c r="X10" s="36"/>
      <c r="Y10" s="36"/>
      <c r="Z10" s="36"/>
      <c r="AA10" s="36"/>
    </row>
    <row r="11" spans="1:27" ht="48" customHeight="1" thickBot="1" x14ac:dyDescent="0.3">
      <c r="A11" s="3" t="s">
        <v>4</v>
      </c>
      <c r="B11" s="3" t="s">
        <v>463</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362</v>
      </c>
      <c r="B12" s="7" t="s">
        <v>462</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363</v>
      </c>
      <c r="B13" s="7" t="s">
        <v>461</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t="s">
        <v>204</v>
      </c>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t="s">
        <v>381</v>
      </c>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0" t="s">
        <v>41</v>
      </c>
      <c r="B16" s="358"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0" t="s">
        <v>7</v>
      </c>
      <c r="B17" s="359"/>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83"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9.5" customHeight="1" x14ac:dyDescent="0.25">
      <c r="A34" s="84"/>
    </row>
    <row r="58" spans="3:8" x14ac:dyDescent="0.25">
      <c r="C58"/>
      <c r="E58"/>
      <c r="F58"/>
      <c r="G58"/>
      <c r="H58"/>
    </row>
  </sheetData>
  <mergeCells count="10">
    <mergeCell ref="C1:G1"/>
    <mergeCell ref="J19:N21"/>
    <mergeCell ref="J23:N25"/>
    <mergeCell ref="A26:B26"/>
    <mergeCell ref="A6:B6"/>
    <mergeCell ref="E9:I9"/>
    <mergeCell ref="E10:H10"/>
    <mergeCell ref="J11:N12"/>
    <mergeCell ref="J13:N17"/>
    <mergeCell ref="B16:B17"/>
  </mergeCells>
  <pageMargins left="0.7" right="0.7" top="0.75" bottom="0.75" header="0.3" footer="0.3"/>
  <pageSetup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59999389629810485"/>
  </sheetPr>
  <dimension ref="A1:AA58"/>
  <sheetViews>
    <sheetView zoomScale="80" zoomScaleNormal="80" workbookViewId="0">
      <selection activeCell="B9" sqref="B9"/>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85546875" style="121" customWidth="1"/>
  </cols>
  <sheetData>
    <row r="1" spans="1:27" ht="86.25" customHeight="1" x14ac:dyDescent="0.3">
      <c r="A1" s="114" t="s">
        <v>295</v>
      </c>
      <c r="B1" s="45"/>
      <c r="D1" s="347" t="s">
        <v>480</v>
      </c>
      <c r="E1" s="348"/>
      <c r="F1" s="348"/>
      <c r="G1" s="348"/>
      <c r="H1" s="349"/>
    </row>
    <row r="2" spans="1:27" x14ac:dyDescent="0.25">
      <c r="A2" s="58" t="s">
        <v>460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295</v>
      </c>
    </row>
    <row r="8" spans="1:27" ht="102" customHeight="1" x14ac:dyDescent="0.25">
      <c r="A8" s="3" t="s">
        <v>2</v>
      </c>
      <c r="B8" s="116" t="s">
        <v>479</v>
      </c>
    </row>
    <row r="9" spans="1:27" ht="223.5" customHeight="1" x14ac:dyDescent="0.25">
      <c r="A9" s="3" t="s">
        <v>238</v>
      </c>
      <c r="B9" s="116" t="s">
        <v>422</v>
      </c>
      <c r="E9" s="352" t="s">
        <v>100</v>
      </c>
      <c r="F9" s="352"/>
      <c r="G9" s="352"/>
      <c r="H9" s="352"/>
      <c r="I9" s="352"/>
    </row>
    <row r="10" spans="1:27" ht="15.75" thickBot="1" x14ac:dyDescent="0.3">
      <c r="A10" s="3" t="s">
        <v>1</v>
      </c>
      <c r="B10" s="3" t="s">
        <v>245</v>
      </c>
      <c r="C10" s="1" t="s">
        <v>48</v>
      </c>
      <c r="E10" s="353" t="s">
        <v>53</v>
      </c>
      <c r="F10" s="354"/>
      <c r="G10" s="354"/>
      <c r="H10" s="355"/>
      <c r="I10" s="3">
        <f>B15</f>
        <v>0</v>
      </c>
      <c r="J10" t="s">
        <v>74</v>
      </c>
      <c r="P10" s="36" t="s">
        <v>76</v>
      </c>
      <c r="Q10" s="36"/>
      <c r="R10" s="36"/>
      <c r="S10" s="36"/>
      <c r="T10" s="36"/>
      <c r="U10" s="36"/>
      <c r="V10" s="36"/>
      <c r="W10" s="36"/>
      <c r="X10" s="36"/>
      <c r="Y10" s="36"/>
      <c r="Z10" s="36"/>
      <c r="AA10" s="36"/>
    </row>
    <row r="11" spans="1:27" ht="48" customHeight="1" thickBot="1" x14ac:dyDescent="0.3">
      <c r="A11" s="3" t="s">
        <v>4</v>
      </c>
      <c r="B11" s="3" t="s">
        <v>384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0" t="s">
        <v>41</v>
      </c>
      <c r="B16" s="381" t="s">
        <v>385</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0" t="s">
        <v>7</v>
      </c>
      <c r="B17" s="382"/>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83"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8" customHeight="1" x14ac:dyDescent="0.25">
      <c r="A34" s="84"/>
    </row>
    <row r="57" customFormat="1" x14ac:dyDescent="0.25"/>
    <row r="58" customFormat="1" x14ac:dyDescent="0.25"/>
  </sheetData>
  <mergeCells count="10">
    <mergeCell ref="D1:H1"/>
    <mergeCell ref="J19:N21"/>
    <mergeCell ref="J23:N25"/>
    <mergeCell ref="A26:B26"/>
    <mergeCell ref="A6:B6"/>
    <mergeCell ref="E9:I9"/>
    <mergeCell ref="E10:H10"/>
    <mergeCell ref="J11:N12"/>
    <mergeCell ref="J13:N17"/>
    <mergeCell ref="B16:B1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59999389629810485"/>
    <pageSetUpPr fitToPage="1"/>
  </sheetPr>
  <dimension ref="A1:AB57"/>
  <sheetViews>
    <sheetView zoomScale="80" zoomScaleNormal="80" workbookViewId="0"/>
  </sheetViews>
  <sheetFormatPr defaultRowHeight="15" x14ac:dyDescent="0.25"/>
  <cols>
    <col min="1" max="1" width="63.7109375" customWidth="1"/>
    <col min="2" max="2" width="75.42578125" customWidth="1"/>
    <col min="3" max="3" width="44.42578125" style="1" customWidth="1"/>
    <col min="5" max="5" width="9.140625" style="20"/>
    <col min="6" max="6" width="14.42578125" style="20" customWidth="1"/>
    <col min="7" max="7" width="15.42578125" style="20" customWidth="1"/>
    <col min="8" max="9" width="18" style="20" customWidth="1"/>
    <col min="10" max="10" width="15.7109375" customWidth="1"/>
    <col min="17" max="17" width="10" style="121" customWidth="1"/>
  </cols>
  <sheetData>
    <row r="1" spans="1:28" ht="54.6" customHeight="1" x14ac:dyDescent="0.3">
      <c r="A1" s="114" t="s">
        <v>298</v>
      </c>
      <c r="B1" s="45"/>
      <c r="D1" s="403" t="s">
        <v>724</v>
      </c>
      <c r="E1" s="404"/>
      <c r="F1" s="404"/>
      <c r="G1" s="404"/>
      <c r="H1" s="404"/>
      <c r="I1" s="404"/>
      <c r="J1" s="405"/>
    </row>
    <row r="2" spans="1:28" x14ac:dyDescent="0.25">
      <c r="A2" s="118" t="s">
        <v>514</v>
      </c>
    </row>
    <row r="3" spans="1:28" ht="15" customHeight="1" x14ac:dyDescent="0.25">
      <c r="A3" s="2" t="s">
        <v>8</v>
      </c>
      <c r="B3" s="2"/>
    </row>
    <row r="4" spans="1:28" ht="15" customHeight="1" x14ac:dyDescent="0.25">
      <c r="A4" s="9" t="s">
        <v>9</v>
      </c>
      <c r="B4" s="9"/>
      <c r="D4" t="s">
        <v>134</v>
      </c>
      <c r="G4" s="20" t="s">
        <v>134</v>
      </c>
      <c r="J4" t="s">
        <v>171</v>
      </c>
      <c r="K4">
        <v>3.74</v>
      </c>
      <c r="L4" t="s">
        <v>170</v>
      </c>
    </row>
    <row r="5" spans="1:28" x14ac:dyDescent="0.25">
      <c r="C5" s="1" t="s">
        <v>31</v>
      </c>
      <c r="J5" s="20"/>
      <c r="K5" s="20"/>
      <c r="L5" s="20"/>
    </row>
    <row r="6" spans="1:28" x14ac:dyDescent="0.25">
      <c r="A6" s="350" t="s">
        <v>10</v>
      </c>
      <c r="B6" s="351"/>
    </row>
    <row r="7" spans="1:28" ht="21" customHeight="1" x14ac:dyDescent="0.25">
      <c r="A7" s="3" t="s">
        <v>0</v>
      </c>
      <c r="B7" s="3" t="s">
        <v>298</v>
      </c>
      <c r="F7" s="57" t="s">
        <v>150</v>
      </c>
      <c r="G7" s="66">
        <v>1</v>
      </c>
      <c r="J7" s="20" t="s">
        <v>169</v>
      </c>
      <c r="K7" s="20">
        <v>2</v>
      </c>
      <c r="L7" s="20" t="s">
        <v>168</v>
      </c>
      <c r="M7" t="s">
        <v>167</v>
      </c>
      <c r="O7" s="49"/>
      <c r="P7" s="49"/>
    </row>
    <row r="8" spans="1:28" ht="67.900000000000006" customHeight="1" x14ac:dyDescent="0.25">
      <c r="A8" s="3" t="s">
        <v>2</v>
      </c>
      <c r="B8" s="157" t="s">
        <v>725</v>
      </c>
      <c r="E8" s="352" t="s">
        <v>100</v>
      </c>
      <c r="F8" s="352"/>
      <c r="G8" s="352"/>
      <c r="H8" s="352"/>
      <c r="I8" s="352"/>
      <c r="J8" s="352"/>
    </row>
    <row r="9" spans="1:28" ht="90.75" thickBot="1" x14ac:dyDescent="0.3">
      <c r="A9" s="3" t="s">
        <v>1</v>
      </c>
      <c r="B9" s="3" t="s">
        <v>164</v>
      </c>
      <c r="C9" s="1" t="s">
        <v>48</v>
      </c>
      <c r="E9" s="353" t="s">
        <v>53</v>
      </c>
      <c r="F9" s="354"/>
      <c r="G9" s="354"/>
      <c r="H9" s="355"/>
      <c r="I9" s="86" t="s">
        <v>166</v>
      </c>
      <c r="J9" s="86" t="str">
        <f>B14</f>
        <v>28 MW (Contingency); 35 MW (Equal Slope) and 42 MW (Load Growth)</v>
      </c>
      <c r="K9" t="s">
        <v>74</v>
      </c>
      <c r="Q9" s="36" t="s">
        <v>76</v>
      </c>
      <c r="R9" s="36"/>
      <c r="S9" s="36"/>
      <c r="T9" s="36"/>
      <c r="U9" s="36"/>
      <c r="V9" s="36"/>
      <c r="W9" s="36"/>
      <c r="X9" s="36"/>
      <c r="Y9" s="36"/>
      <c r="Z9" s="36"/>
      <c r="AA9" s="36"/>
      <c r="AB9" s="36"/>
    </row>
    <row r="10" spans="1:28" ht="48" customHeight="1" thickBot="1" x14ac:dyDescent="0.3">
      <c r="A10" s="3" t="s">
        <v>4</v>
      </c>
      <c r="B10" s="3" t="s">
        <v>102</v>
      </c>
      <c r="C10" s="1" t="s">
        <v>3</v>
      </c>
      <c r="E10" s="30" t="s">
        <v>75</v>
      </c>
      <c r="F10" s="31" t="s">
        <v>147</v>
      </c>
      <c r="G10" s="31" t="s">
        <v>146</v>
      </c>
      <c r="H10" s="93" t="s">
        <v>90</v>
      </c>
      <c r="I10" s="93" t="s">
        <v>165</v>
      </c>
      <c r="J10" s="31" t="s">
        <v>144</v>
      </c>
      <c r="K10" s="344" t="s">
        <v>92</v>
      </c>
      <c r="L10" s="345"/>
      <c r="M10" s="345"/>
      <c r="N10" s="345"/>
      <c r="O10" s="345"/>
      <c r="Q10" s="36" t="s">
        <v>77</v>
      </c>
      <c r="R10" s="41">
        <v>0.9</v>
      </c>
      <c r="S10" s="39">
        <v>0.8</v>
      </c>
      <c r="T10" s="39">
        <v>0.7</v>
      </c>
      <c r="U10" s="40">
        <v>0.6</v>
      </c>
      <c r="V10" s="41">
        <v>0.5</v>
      </c>
      <c r="W10" s="39">
        <v>0.4</v>
      </c>
      <c r="X10" s="39">
        <v>0.3</v>
      </c>
      <c r="Y10" s="39">
        <v>0.2</v>
      </c>
      <c r="Z10" s="39">
        <v>0.1</v>
      </c>
      <c r="AA10" s="39">
        <v>0.05</v>
      </c>
      <c r="AB10" s="38">
        <v>18537</v>
      </c>
    </row>
    <row r="11" spans="1:28" ht="45" customHeight="1" x14ac:dyDescent="0.25">
      <c r="A11" s="7" t="s">
        <v>49</v>
      </c>
      <c r="B11" s="146" t="s">
        <v>720</v>
      </c>
      <c r="E11" s="26">
        <v>2014</v>
      </c>
      <c r="F11" s="32" t="s">
        <v>137</v>
      </c>
      <c r="G11" s="32">
        <f>23.96+(6*0.9)</f>
        <v>29.36</v>
      </c>
      <c r="H11" s="32">
        <f t="shared" ref="H11:H22" si="0">23.96+(7)</f>
        <v>30.96</v>
      </c>
      <c r="I11" s="32">
        <v>30.3</v>
      </c>
      <c r="J11" s="107">
        <f>28-G11</f>
        <v>-1.3599999999999994</v>
      </c>
      <c r="K11" s="344"/>
      <c r="L11" s="345"/>
      <c r="M11" s="345"/>
      <c r="N11" s="345"/>
      <c r="O11" s="345"/>
      <c r="Q11" s="36">
        <v>2011</v>
      </c>
      <c r="R11" s="36">
        <v>1030</v>
      </c>
      <c r="S11" s="36">
        <v>1035</v>
      </c>
      <c r="T11" s="36">
        <v>1040</v>
      </c>
      <c r="U11" s="36">
        <v>1050</v>
      </c>
      <c r="V11" s="36">
        <v>1070</v>
      </c>
      <c r="W11" s="36">
        <v>1075</v>
      </c>
      <c r="X11" s="36">
        <v>1090</v>
      </c>
      <c r="Y11" s="36">
        <v>1095</v>
      </c>
      <c r="Z11" s="36">
        <v>1110</v>
      </c>
      <c r="AA11" s="36">
        <v>1110</v>
      </c>
      <c r="AB11" s="36">
        <v>1.0373829999999999</v>
      </c>
    </row>
    <row r="12" spans="1:28" ht="15" customHeight="1" x14ac:dyDescent="0.25">
      <c r="A12" s="7" t="s">
        <v>50</v>
      </c>
      <c r="B12" s="81" t="s">
        <v>722</v>
      </c>
      <c r="E12" s="26">
        <f t="shared" ref="E12:E30" si="1">+E11+1</f>
        <v>2015</v>
      </c>
      <c r="F12" s="32" t="s">
        <v>137</v>
      </c>
      <c r="G12" s="32">
        <f t="shared" ref="G12:G22" si="2">+G11</f>
        <v>29.36</v>
      </c>
      <c r="H12" s="32">
        <f t="shared" si="0"/>
        <v>30.96</v>
      </c>
      <c r="I12" s="32">
        <f t="shared" ref="I12:I22" si="3">+I11</f>
        <v>30.3</v>
      </c>
      <c r="J12" s="107">
        <f t="shared" ref="J12:J22" si="4">28-G12</f>
        <v>-1.3599999999999994</v>
      </c>
      <c r="K12" s="344" t="s">
        <v>91</v>
      </c>
      <c r="L12" s="345"/>
      <c r="M12" s="345"/>
      <c r="N12" s="345"/>
      <c r="O12" s="345"/>
      <c r="Q12" s="36">
        <v>2012</v>
      </c>
      <c r="R12" s="36">
        <v>1050</v>
      </c>
      <c r="S12" s="36">
        <v>1055</v>
      </c>
      <c r="T12" s="36">
        <v>1060</v>
      </c>
      <c r="U12" s="36">
        <v>1070</v>
      </c>
      <c r="V12" s="36">
        <v>1090</v>
      </c>
      <c r="W12" s="36">
        <v>1095</v>
      </c>
      <c r="X12" s="36">
        <v>1115</v>
      </c>
      <c r="Y12" s="36">
        <v>1120</v>
      </c>
      <c r="Z12" s="36">
        <v>1125</v>
      </c>
      <c r="AA12" s="36">
        <v>1135</v>
      </c>
      <c r="AB12" s="36">
        <v>1.0321100000000001</v>
      </c>
    </row>
    <row r="13" spans="1:28" x14ac:dyDescent="0.25">
      <c r="A13" s="7" t="s">
        <v>51</v>
      </c>
      <c r="B13" s="14" t="s">
        <v>721</v>
      </c>
      <c r="C13" s="1" t="s">
        <v>52</v>
      </c>
      <c r="E13" s="26">
        <f t="shared" si="1"/>
        <v>2016</v>
      </c>
      <c r="F13" s="32" t="s">
        <v>137</v>
      </c>
      <c r="G13" s="32">
        <f t="shared" si="2"/>
        <v>29.36</v>
      </c>
      <c r="H13" s="32">
        <f t="shared" si="0"/>
        <v>30.96</v>
      </c>
      <c r="I13" s="32">
        <f t="shared" si="3"/>
        <v>30.3</v>
      </c>
      <c r="J13" s="107">
        <f t="shared" si="4"/>
        <v>-1.3599999999999994</v>
      </c>
      <c r="K13" s="344"/>
      <c r="L13" s="345"/>
      <c r="M13" s="345"/>
      <c r="N13" s="345"/>
      <c r="O13" s="345"/>
      <c r="Q13" s="36">
        <v>2013</v>
      </c>
      <c r="R13" s="36">
        <v>1065</v>
      </c>
      <c r="S13" s="36">
        <v>1070</v>
      </c>
      <c r="T13" s="36">
        <v>1075</v>
      </c>
      <c r="U13" s="36">
        <v>1085</v>
      </c>
      <c r="V13" s="36">
        <v>1105</v>
      </c>
      <c r="W13" s="36">
        <v>1110</v>
      </c>
      <c r="X13" s="36">
        <v>1130</v>
      </c>
      <c r="Y13" s="36">
        <v>1135</v>
      </c>
      <c r="Z13" s="36">
        <v>1150</v>
      </c>
      <c r="AA13" s="36">
        <v>1150</v>
      </c>
      <c r="AB13" s="36">
        <v>1.040724</v>
      </c>
    </row>
    <row r="14" spans="1:28" ht="21.75" customHeight="1" x14ac:dyDescent="0.25">
      <c r="A14" s="7" t="s">
        <v>53</v>
      </c>
      <c r="B14" s="18" t="s">
        <v>723</v>
      </c>
      <c r="E14" s="26">
        <f t="shared" si="1"/>
        <v>2017</v>
      </c>
      <c r="F14" s="32" t="s">
        <v>137</v>
      </c>
      <c r="G14" s="32">
        <f t="shared" si="2"/>
        <v>29.36</v>
      </c>
      <c r="H14" s="32">
        <f t="shared" si="0"/>
        <v>30.96</v>
      </c>
      <c r="I14" s="32">
        <f t="shared" si="3"/>
        <v>30.3</v>
      </c>
      <c r="J14" s="107">
        <f t="shared" si="4"/>
        <v>-1.3599999999999994</v>
      </c>
      <c r="K14" s="344"/>
      <c r="L14" s="345"/>
      <c r="M14" s="345"/>
      <c r="N14" s="345"/>
      <c r="O14" s="345"/>
      <c r="Q14" s="36">
        <v>2014</v>
      </c>
      <c r="R14" s="36">
        <v>1080</v>
      </c>
      <c r="S14" s="36">
        <v>1085</v>
      </c>
      <c r="T14" s="36">
        <v>1090</v>
      </c>
      <c r="U14" s="36">
        <v>1100</v>
      </c>
      <c r="V14" s="36">
        <v>1120</v>
      </c>
      <c r="W14" s="36">
        <v>1125</v>
      </c>
      <c r="X14" s="36">
        <v>1145</v>
      </c>
      <c r="Y14" s="36">
        <v>1150</v>
      </c>
      <c r="Z14" s="36">
        <v>1165</v>
      </c>
      <c r="AA14" s="36">
        <v>1170</v>
      </c>
      <c r="AB14" s="36">
        <v>1.040179</v>
      </c>
    </row>
    <row r="15" spans="1:28" x14ac:dyDescent="0.25">
      <c r="A15" s="81" t="s">
        <v>41</v>
      </c>
      <c r="B15" s="381"/>
      <c r="E15" s="26">
        <f t="shared" si="1"/>
        <v>2018</v>
      </c>
      <c r="F15" s="32" t="s">
        <v>137</v>
      </c>
      <c r="G15" s="32">
        <f t="shared" si="2"/>
        <v>29.36</v>
      </c>
      <c r="H15" s="32">
        <f t="shared" si="0"/>
        <v>30.96</v>
      </c>
      <c r="I15" s="32">
        <f t="shared" si="3"/>
        <v>30.3</v>
      </c>
      <c r="J15" s="107">
        <f t="shared" si="4"/>
        <v>-1.3599999999999994</v>
      </c>
      <c r="K15" s="344"/>
      <c r="L15" s="345"/>
      <c r="M15" s="345"/>
      <c r="N15" s="345"/>
      <c r="O15" s="345"/>
      <c r="Q15" s="36">
        <v>2015</v>
      </c>
      <c r="R15" s="36">
        <v>1095</v>
      </c>
      <c r="S15" s="36">
        <v>1100</v>
      </c>
      <c r="T15" s="36">
        <v>1105</v>
      </c>
      <c r="U15" s="36">
        <v>1115</v>
      </c>
      <c r="V15" s="36">
        <v>1135</v>
      </c>
      <c r="W15" s="36">
        <v>1140</v>
      </c>
      <c r="X15" s="36">
        <v>1160</v>
      </c>
      <c r="Y15" s="36">
        <v>1165</v>
      </c>
      <c r="Z15" s="36">
        <v>1170</v>
      </c>
      <c r="AA15" s="36">
        <v>1180</v>
      </c>
      <c r="AB15" s="36">
        <v>1.030837</v>
      </c>
    </row>
    <row r="16" spans="1:28" ht="60.75" customHeight="1" x14ac:dyDescent="0.25">
      <c r="A16" s="81" t="s">
        <v>7</v>
      </c>
      <c r="B16" s="382"/>
      <c r="C16" s="1" t="s">
        <v>21</v>
      </c>
      <c r="E16" s="26">
        <f t="shared" si="1"/>
        <v>2019</v>
      </c>
      <c r="F16" s="32" t="s">
        <v>137</v>
      </c>
      <c r="G16" s="32">
        <f t="shared" si="2"/>
        <v>29.36</v>
      </c>
      <c r="H16" s="32">
        <f t="shared" si="0"/>
        <v>30.96</v>
      </c>
      <c r="I16" s="32">
        <f t="shared" si="3"/>
        <v>30.3</v>
      </c>
      <c r="J16" s="107">
        <f t="shared" si="4"/>
        <v>-1.3599999999999994</v>
      </c>
      <c r="K16" s="356"/>
      <c r="L16" s="357"/>
      <c r="M16" s="357"/>
      <c r="N16" s="357"/>
      <c r="O16" s="357"/>
      <c r="Q16" s="36">
        <v>2016</v>
      </c>
      <c r="R16" s="36">
        <v>1105</v>
      </c>
      <c r="S16" s="36">
        <v>1110</v>
      </c>
      <c r="T16" s="36">
        <v>1115</v>
      </c>
      <c r="U16" s="36">
        <v>1125</v>
      </c>
      <c r="V16" s="36">
        <v>1145</v>
      </c>
      <c r="W16" s="36">
        <v>1150</v>
      </c>
      <c r="X16" s="36">
        <v>1170</v>
      </c>
      <c r="Y16" s="36">
        <v>1175</v>
      </c>
      <c r="Z16" s="36">
        <v>1190</v>
      </c>
      <c r="AA16" s="36">
        <v>1195</v>
      </c>
      <c r="AB16" s="36">
        <v>1.039301</v>
      </c>
    </row>
    <row r="17" spans="1:28" x14ac:dyDescent="0.25">
      <c r="A17" s="81" t="s">
        <v>72</v>
      </c>
      <c r="B17" s="81" t="s">
        <v>164</v>
      </c>
      <c r="C17" s="1" t="s">
        <v>73</v>
      </c>
      <c r="E17" s="26">
        <f t="shared" si="1"/>
        <v>2020</v>
      </c>
      <c r="F17" s="32" t="s">
        <v>137</v>
      </c>
      <c r="G17" s="32">
        <f t="shared" si="2"/>
        <v>29.36</v>
      </c>
      <c r="H17" s="32">
        <f t="shared" si="0"/>
        <v>30.96</v>
      </c>
      <c r="I17" s="32">
        <f t="shared" si="3"/>
        <v>30.3</v>
      </c>
      <c r="J17" s="107">
        <f t="shared" si="4"/>
        <v>-1.3599999999999994</v>
      </c>
      <c r="K17" s="27" t="s">
        <v>89</v>
      </c>
      <c r="L17" s="28"/>
      <c r="M17" s="28"/>
      <c r="N17" s="28"/>
      <c r="O17" s="29"/>
      <c r="Q17" s="36">
        <v>2017</v>
      </c>
      <c r="R17" s="36">
        <v>1115</v>
      </c>
      <c r="S17" s="36">
        <v>1120</v>
      </c>
      <c r="T17" s="36">
        <v>1125</v>
      </c>
      <c r="U17" s="36">
        <v>1135</v>
      </c>
      <c r="V17" s="36">
        <v>1155</v>
      </c>
      <c r="W17" s="36">
        <v>1160</v>
      </c>
      <c r="X17" s="36">
        <v>1180</v>
      </c>
      <c r="Y17" s="36">
        <v>1185</v>
      </c>
      <c r="Z17" s="36">
        <v>1195</v>
      </c>
      <c r="AA17" s="36">
        <v>1205</v>
      </c>
      <c r="AB17" s="36">
        <v>1.034632</v>
      </c>
    </row>
    <row r="18" spans="1:28" x14ac:dyDescent="0.25">
      <c r="A18" s="81" t="s">
        <v>68</v>
      </c>
      <c r="B18" s="82" t="s">
        <v>163</v>
      </c>
      <c r="C18" s="1" t="s">
        <v>69</v>
      </c>
      <c r="E18" s="26">
        <f t="shared" si="1"/>
        <v>2021</v>
      </c>
      <c r="F18" s="32" t="s">
        <v>137</v>
      </c>
      <c r="G18" s="32">
        <f t="shared" si="2"/>
        <v>29.36</v>
      </c>
      <c r="H18" s="32">
        <f t="shared" si="0"/>
        <v>30.96</v>
      </c>
      <c r="I18" s="32">
        <f t="shared" si="3"/>
        <v>30.3</v>
      </c>
      <c r="J18" s="107">
        <f t="shared" si="4"/>
        <v>-1.3599999999999994</v>
      </c>
      <c r="K18" s="394" t="s">
        <v>162</v>
      </c>
      <c r="L18" s="395"/>
      <c r="M18" s="395"/>
      <c r="N18" s="395"/>
      <c r="O18" s="396"/>
      <c r="Q18" s="36">
        <v>2018</v>
      </c>
      <c r="R18" s="36">
        <v>1125</v>
      </c>
      <c r="S18" s="36">
        <v>1130</v>
      </c>
      <c r="T18" s="36">
        <v>1140</v>
      </c>
      <c r="U18" s="36">
        <v>1150</v>
      </c>
      <c r="V18" s="36">
        <v>1170</v>
      </c>
      <c r="W18" s="36">
        <v>1175</v>
      </c>
      <c r="X18" s="36">
        <v>1195</v>
      </c>
      <c r="Y18" s="36">
        <v>1200</v>
      </c>
      <c r="Z18" s="36">
        <v>1215</v>
      </c>
      <c r="AA18" s="36">
        <v>1215</v>
      </c>
      <c r="AB18" s="36">
        <v>1.038462</v>
      </c>
    </row>
    <row r="19" spans="1:28" ht="21" customHeight="1" x14ac:dyDescent="0.25">
      <c r="A19" s="81" t="s">
        <v>67</v>
      </c>
      <c r="B19" s="81" t="s">
        <v>678</v>
      </c>
      <c r="C19" s="1" t="s">
        <v>70</v>
      </c>
      <c r="E19" s="26">
        <f t="shared" si="1"/>
        <v>2022</v>
      </c>
      <c r="F19" s="32" t="s">
        <v>137</v>
      </c>
      <c r="G19" s="32">
        <f t="shared" si="2"/>
        <v>29.36</v>
      </c>
      <c r="H19" s="32">
        <f t="shared" si="0"/>
        <v>30.96</v>
      </c>
      <c r="I19" s="32">
        <f t="shared" si="3"/>
        <v>30.3</v>
      </c>
      <c r="J19" s="107">
        <f t="shared" si="4"/>
        <v>-1.3599999999999994</v>
      </c>
      <c r="K19" s="397"/>
      <c r="L19" s="398"/>
      <c r="M19" s="398"/>
      <c r="N19" s="398"/>
      <c r="O19" s="399"/>
      <c r="Q19" s="36">
        <v>2019</v>
      </c>
      <c r="R19" s="36">
        <v>1135</v>
      </c>
      <c r="S19" s="36">
        <v>1140</v>
      </c>
      <c r="T19" s="36">
        <v>1150</v>
      </c>
      <c r="U19" s="36">
        <v>1160</v>
      </c>
      <c r="V19" s="36">
        <v>1180</v>
      </c>
      <c r="W19" s="36">
        <v>1185</v>
      </c>
      <c r="X19" s="36">
        <v>1205</v>
      </c>
      <c r="Y19" s="36">
        <v>1210</v>
      </c>
      <c r="Z19" s="36">
        <v>1225</v>
      </c>
      <c r="AA19" s="36">
        <v>1230</v>
      </c>
      <c r="AB19" s="36">
        <v>1.0381359999999999</v>
      </c>
    </row>
    <row r="20" spans="1:28" ht="48.75" customHeight="1" x14ac:dyDescent="0.25">
      <c r="A20" s="3" t="s">
        <v>98</v>
      </c>
      <c r="B20" s="90" t="s">
        <v>255</v>
      </c>
      <c r="C20" s="1" t="s">
        <v>58</v>
      </c>
      <c r="E20" s="26">
        <f t="shared" si="1"/>
        <v>2023</v>
      </c>
      <c r="F20" s="32" t="s">
        <v>137</v>
      </c>
      <c r="G20" s="32">
        <f t="shared" si="2"/>
        <v>29.36</v>
      </c>
      <c r="H20" s="32">
        <f t="shared" si="0"/>
        <v>30.96</v>
      </c>
      <c r="I20" s="32">
        <f t="shared" si="3"/>
        <v>30.3</v>
      </c>
      <c r="J20" s="107">
        <f t="shared" si="4"/>
        <v>-1.3599999999999994</v>
      </c>
      <c r="K20" s="400"/>
      <c r="L20" s="401"/>
      <c r="M20" s="401"/>
      <c r="N20" s="401"/>
      <c r="O20" s="402"/>
      <c r="Q20" s="36">
        <v>2020</v>
      </c>
      <c r="R20" s="36">
        <v>1145</v>
      </c>
      <c r="S20" s="36">
        <v>1150</v>
      </c>
      <c r="T20" s="36">
        <v>1155</v>
      </c>
      <c r="U20" s="36">
        <v>1170</v>
      </c>
      <c r="V20" s="36">
        <v>1190</v>
      </c>
      <c r="W20" s="36">
        <v>1195</v>
      </c>
      <c r="X20" s="36">
        <v>1215</v>
      </c>
      <c r="Y20" s="36">
        <v>1225</v>
      </c>
      <c r="Z20" s="36">
        <v>1235</v>
      </c>
      <c r="AA20" s="36">
        <v>1240</v>
      </c>
      <c r="AB20" s="36">
        <v>1.0378149999999999</v>
      </c>
    </row>
    <row r="21" spans="1:28" x14ac:dyDescent="0.25">
      <c r="A21" s="3" t="s">
        <v>5</v>
      </c>
      <c r="B21" s="16">
        <v>2500000</v>
      </c>
      <c r="C21" s="1" t="s">
        <v>6</v>
      </c>
      <c r="E21" s="26">
        <f t="shared" si="1"/>
        <v>2024</v>
      </c>
      <c r="F21" s="32" t="s">
        <v>137</v>
      </c>
      <c r="G21" s="32">
        <f t="shared" si="2"/>
        <v>29.36</v>
      </c>
      <c r="H21" s="32">
        <f t="shared" si="0"/>
        <v>30.96</v>
      </c>
      <c r="I21" s="32">
        <f t="shared" si="3"/>
        <v>30.3</v>
      </c>
      <c r="J21" s="107">
        <f t="shared" si="4"/>
        <v>-1.3599999999999994</v>
      </c>
      <c r="Q21" s="36" t="s">
        <v>78</v>
      </c>
      <c r="R21" s="36"/>
      <c r="S21" s="36"/>
      <c r="T21" s="36"/>
      <c r="U21" s="36"/>
      <c r="V21" s="36"/>
      <c r="W21" s="36"/>
      <c r="X21" s="36"/>
      <c r="Y21" s="36"/>
      <c r="Z21" s="36"/>
      <c r="AA21" s="36"/>
      <c r="AB21" s="36"/>
    </row>
    <row r="22" spans="1:28" ht="34.5" customHeight="1" x14ac:dyDescent="0.25">
      <c r="A22" s="3" t="s">
        <v>55</v>
      </c>
      <c r="B22" s="17" t="s">
        <v>191</v>
      </c>
      <c r="C22" s="1" t="s">
        <v>54</v>
      </c>
      <c r="E22" s="26">
        <f t="shared" si="1"/>
        <v>2025</v>
      </c>
      <c r="F22" s="32" t="s">
        <v>137</v>
      </c>
      <c r="G22" s="32">
        <f t="shared" si="2"/>
        <v>29.36</v>
      </c>
      <c r="H22" s="32">
        <f t="shared" si="0"/>
        <v>30.96</v>
      </c>
      <c r="I22" s="32">
        <f t="shared" si="3"/>
        <v>30.3</v>
      </c>
      <c r="J22" s="107">
        <f t="shared" si="4"/>
        <v>-1.3599999999999994</v>
      </c>
      <c r="K22" s="344" t="s">
        <v>96</v>
      </c>
      <c r="L22" s="345"/>
      <c r="M22" s="345"/>
      <c r="N22" s="345"/>
      <c r="O22" s="345"/>
      <c r="Q22" s="36" t="s">
        <v>79</v>
      </c>
      <c r="R22" s="36">
        <v>1030</v>
      </c>
      <c r="S22" s="36">
        <v>1035</v>
      </c>
      <c r="T22" s="36">
        <v>1035</v>
      </c>
      <c r="U22" s="36">
        <v>1035</v>
      </c>
      <c r="V22" s="36">
        <v>1045</v>
      </c>
      <c r="W22" s="36">
        <v>1050</v>
      </c>
      <c r="X22" s="36">
        <v>1055</v>
      </c>
      <c r="Y22" s="36">
        <v>1055</v>
      </c>
      <c r="Z22" s="36">
        <v>1060</v>
      </c>
      <c r="AA22" s="36">
        <v>1070</v>
      </c>
      <c r="AB22" s="36">
        <v>1.014354</v>
      </c>
    </row>
    <row r="23" spans="1:28" ht="30.75" customHeight="1" x14ac:dyDescent="0.25">
      <c r="A23" s="3" t="s">
        <v>56</v>
      </c>
      <c r="B23" s="16">
        <f>+B21/6</f>
        <v>416666.66666666669</v>
      </c>
      <c r="C23" s="1" t="s">
        <v>57</v>
      </c>
      <c r="E23" s="26">
        <f t="shared" si="1"/>
        <v>2026</v>
      </c>
      <c r="F23" s="26"/>
      <c r="G23" s="26"/>
      <c r="H23" s="26"/>
      <c r="I23" s="26"/>
      <c r="J23" s="3"/>
      <c r="K23" s="344"/>
      <c r="L23" s="345"/>
      <c r="M23" s="345"/>
      <c r="N23" s="345"/>
      <c r="O23" s="345"/>
      <c r="Q23" s="36" t="s">
        <v>80</v>
      </c>
      <c r="R23" s="36">
        <v>1040</v>
      </c>
      <c r="S23" s="36">
        <v>1045</v>
      </c>
      <c r="T23" s="36">
        <v>1045</v>
      </c>
      <c r="U23" s="36">
        <v>1045</v>
      </c>
      <c r="V23" s="36">
        <v>1055</v>
      </c>
      <c r="W23" s="36">
        <v>1060</v>
      </c>
      <c r="X23" s="36">
        <v>1065</v>
      </c>
      <c r="Y23" s="36">
        <v>1065</v>
      </c>
      <c r="Z23" s="36">
        <v>1070</v>
      </c>
      <c r="AA23" s="36">
        <v>1080</v>
      </c>
      <c r="AB23" s="36">
        <v>1.0142180000000001</v>
      </c>
    </row>
    <row r="24" spans="1:28" x14ac:dyDescent="0.25">
      <c r="A24" s="12"/>
      <c r="B24" s="13"/>
      <c r="E24" s="26">
        <f t="shared" si="1"/>
        <v>2027</v>
      </c>
      <c r="F24" s="26"/>
      <c r="G24" s="26"/>
      <c r="H24" s="26"/>
      <c r="I24" s="26"/>
      <c r="J24" s="3"/>
      <c r="K24" s="344"/>
      <c r="L24" s="345"/>
      <c r="M24" s="345"/>
      <c r="N24" s="345"/>
      <c r="O24" s="345"/>
      <c r="Q24" s="36" t="s">
        <v>81</v>
      </c>
      <c r="R24" s="36">
        <v>1050</v>
      </c>
      <c r="S24" s="36">
        <v>1055</v>
      </c>
      <c r="T24" s="36">
        <v>1055</v>
      </c>
      <c r="U24" s="36">
        <v>1055</v>
      </c>
      <c r="V24" s="36">
        <v>1065</v>
      </c>
      <c r="W24" s="36">
        <v>1070</v>
      </c>
      <c r="X24" s="36">
        <v>1075</v>
      </c>
      <c r="Y24" s="36">
        <v>1075</v>
      </c>
      <c r="Z24" s="36">
        <v>1080</v>
      </c>
      <c r="AA24" s="36">
        <v>1095</v>
      </c>
      <c r="AB24" s="36">
        <v>1.0140849999999999</v>
      </c>
    </row>
    <row r="25" spans="1:28" x14ac:dyDescent="0.25">
      <c r="A25" s="346" t="s">
        <v>71</v>
      </c>
      <c r="B25" s="346"/>
      <c r="E25" s="26">
        <f t="shared" si="1"/>
        <v>2028</v>
      </c>
      <c r="F25" s="26"/>
      <c r="G25" s="26"/>
      <c r="H25" s="26"/>
      <c r="I25" s="26"/>
      <c r="J25" s="3"/>
      <c r="Q25" s="36" t="s">
        <v>82</v>
      </c>
      <c r="R25" s="36">
        <v>1055</v>
      </c>
      <c r="S25" s="36">
        <v>1060</v>
      </c>
      <c r="T25" s="36">
        <v>1060</v>
      </c>
      <c r="U25" s="36">
        <v>1060</v>
      </c>
      <c r="V25" s="36">
        <v>1070</v>
      </c>
      <c r="W25" s="36">
        <v>1075</v>
      </c>
      <c r="X25" s="36">
        <v>1080</v>
      </c>
      <c r="Y25" s="36">
        <v>1080</v>
      </c>
      <c r="Z25" s="36">
        <v>1085</v>
      </c>
      <c r="AA25" s="36">
        <v>1095</v>
      </c>
      <c r="AB25" s="36">
        <v>1.014019</v>
      </c>
    </row>
    <row r="26" spans="1:28" x14ac:dyDescent="0.25">
      <c r="A26" s="3" t="s">
        <v>28</v>
      </c>
      <c r="B26" s="3"/>
      <c r="E26" s="26">
        <f t="shared" si="1"/>
        <v>2029</v>
      </c>
      <c r="F26" s="26"/>
      <c r="G26" s="26"/>
      <c r="H26" s="26"/>
      <c r="I26" s="26"/>
      <c r="J26" s="3"/>
      <c r="Q26" s="36" t="s">
        <v>83</v>
      </c>
      <c r="R26" s="36">
        <v>1060</v>
      </c>
      <c r="S26" s="36">
        <v>1065</v>
      </c>
      <c r="T26" s="36">
        <v>1065</v>
      </c>
      <c r="U26" s="36">
        <v>1065</v>
      </c>
      <c r="V26" s="36">
        <v>1075</v>
      </c>
      <c r="W26" s="36">
        <v>1080</v>
      </c>
      <c r="X26" s="36">
        <v>1085</v>
      </c>
      <c r="Y26" s="36">
        <v>1085</v>
      </c>
      <c r="Z26" s="36">
        <v>1090</v>
      </c>
      <c r="AA26" s="36">
        <v>1110</v>
      </c>
      <c r="AB26" s="36">
        <v>1.0139530000000001</v>
      </c>
    </row>
    <row r="27" spans="1:28" x14ac:dyDescent="0.25">
      <c r="A27" s="3" t="s">
        <v>29</v>
      </c>
      <c r="B27" s="3"/>
      <c r="E27" s="26">
        <f t="shared" si="1"/>
        <v>2030</v>
      </c>
      <c r="F27" s="26"/>
      <c r="G27" s="26"/>
      <c r="H27" s="26"/>
      <c r="I27" s="26"/>
      <c r="J27" s="3"/>
      <c r="Q27" s="36" t="s">
        <v>84</v>
      </c>
      <c r="R27" s="36">
        <v>1065</v>
      </c>
      <c r="S27" s="36">
        <v>1070</v>
      </c>
      <c r="T27" s="36">
        <v>1070</v>
      </c>
      <c r="U27" s="36">
        <v>1070</v>
      </c>
      <c r="V27" s="36">
        <v>1080</v>
      </c>
      <c r="W27" s="36">
        <v>1085</v>
      </c>
      <c r="X27" s="36">
        <v>1090</v>
      </c>
      <c r="Y27" s="36">
        <v>1090</v>
      </c>
      <c r="Z27" s="36">
        <v>1100</v>
      </c>
      <c r="AA27" s="36">
        <v>1110</v>
      </c>
      <c r="AB27" s="36">
        <v>1.018519</v>
      </c>
    </row>
    <row r="28" spans="1:28" ht="39.75" customHeight="1" x14ac:dyDescent="0.25">
      <c r="A28" s="3" t="s">
        <v>30</v>
      </c>
      <c r="B28" s="17"/>
      <c r="C28" s="1" t="s">
        <v>43</v>
      </c>
      <c r="E28" s="26">
        <f t="shared" si="1"/>
        <v>2031</v>
      </c>
      <c r="F28" s="26"/>
      <c r="G28" s="26"/>
      <c r="H28" s="26"/>
      <c r="I28" s="26"/>
      <c r="J28" s="3"/>
      <c r="Q28" s="36" t="s">
        <v>85</v>
      </c>
      <c r="R28" s="36">
        <v>1075</v>
      </c>
      <c r="S28" s="36">
        <v>1080</v>
      </c>
      <c r="T28" s="36">
        <v>1080</v>
      </c>
      <c r="U28" s="36">
        <v>1080</v>
      </c>
      <c r="V28" s="36">
        <v>1090</v>
      </c>
      <c r="W28" s="36">
        <v>1095</v>
      </c>
      <c r="X28" s="36">
        <v>1100</v>
      </c>
      <c r="Y28" s="36">
        <v>1100</v>
      </c>
      <c r="Z28" s="36">
        <v>1105</v>
      </c>
      <c r="AA28" s="36">
        <v>1120</v>
      </c>
      <c r="AB28" s="36">
        <v>1.0137609999999999</v>
      </c>
    </row>
    <row r="29" spans="1:28" x14ac:dyDescent="0.25">
      <c r="A29" s="3" t="s">
        <v>44</v>
      </c>
      <c r="B29" s="3"/>
      <c r="E29" s="26">
        <f t="shared" si="1"/>
        <v>2032</v>
      </c>
      <c r="F29" s="26"/>
      <c r="G29" s="26"/>
      <c r="H29" s="26"/>
      <c r="I29" s="26"/>
      <c r="J29" s="3"/>
      <c r="Q29" s="36" t="s">
        <v>86</v>
      </c>
      <c r="R29" s="36">
        <v>1080</v>
      </c>
      <c r="S29" s="36">
        <v>1085</v>
      </c>
      <c r="T29" s="36">
        <v>1085</v>
      </c>
      <c r="U29" s="36">
        <v>1085</v>
      </c>
      <c r="V29" s="36">
        <v>1095</v>
      </c>
      <c r="W29" s="36">
        <v>1100</v>
      </c>
      <c r="X29" s="36">
        <v>1105</v>
      </c>
      <c r="Y29" s="36">
        <v>1105</v>
      </c>
      <c r="Z29" s="36">
        <v>1110</v>
      </c>
      <c r="AA29" s="36">
        <v>1120</v>
      </c>
      <c r="AB29" s="36">
        <v>1.0136989999999999</v>
      </c>
    </row>
    <row r="30" spans="1:28" x14ac:dyDescent="0.25">
      <c r="A30" s="3" t="s">
        <v>47</v>
      </c>
      <c r="B30" s="3"/>
      <c r="E30" s="26">
        <f t="shared" si="1"/>
        <v>2033</v>
      </c>
      <c r="F30" s="26"/>
      <c r="G30" s="26"/>
      <c r="H30" s="26"/>
      <c r="I30" s="26"/>
      <c r="J30" s="3"/>
      <c r="Q30" s="36" t="s">
        <v>87</v>
      </c>
      <c r="R30" s="36">
        <v>1085</v>
      </c>
      <c r="S30" s="36">
        <v>1090</v>
      </c>
      <c r="T30" s="36">
        <v>1090</v>
      </c>
      <c r="U30" s="36">
        <v>1090</v>
      </c>
      <c r="V30" s="36">
        <v>1100</v>
      </c>
      <c r="W30" s="36">
        <v>1105</v>
      </c>
      <c r="X30" s="36">
        <v>1110</v>
      </c>
      <c r="Y30" s="36">
        <v>1110</v>
      </c>
      <c r="Z30" s="36">
        <v>1115</v>
      </c>
      <c r="AA30" s="36">
        <v>1125</v>
      </c>
      <c r="AB30" s="36">
        <v>1.013636</v>
      </c>
    </row>
    <row r="31" spans="1:28" x14ac:dyDescent="0.25">
      <c r="A31" s="3" t="s">
        <v>45</v>
      </c>
      <c r="B31" s="3"/>
      <c r="Q31" s="36" t="s">
        <v>88</v>
      </c>
      <c r="R31" s="36">
        <v>1090</v>
      </c>
      <c r="S31" s="36">
        <v>1095</v>
      </c>
      <c r="T31" s="36">
        <v>1095</v>
      </c>
      <c r="U31" s="36">
        <v>1095</v>
      </c>
      <c r="V31" s="36">
        <v>1105</v>
      </c>
      <c r="W31" s="36">
        <v>1110</v>
      </c>
      <c r="X31" s="36">
        <v>1115</v>
      </c>
      <c r="Y31" s="36">
        <v>1115</v>
      </c>
      <c r="Z31" s="36">
        <v>1120</v>
      </c>
      <c r="AA31" s="36">
        <v>1130</v>
      </c>
      <c r="AB31" s="36">
        <v>1.0135749999999999</v>
      </c>
    </row>
    <row r="32" spans="1:28" x14ac:dyDescent="0.25">
      <c r="A32" s="3" t="s">
        <v>46</v>
      </c>
      <c r="B32" s="3"/>
    </row>
    <row r="33" spans="1:2" ht="17.25" customHeight="1" x14ac:dyDescent="0.25">
      <c r="A33" s="84"/>
    </row>
    <row r="36" spans="1:2" x14ac:dyDescent="0.25">
      <c r="A36" s="47" t="s">
        <v>161</v>
      </c>
      <c r="B36" s="46" t="s">
        <v>160</v>
      </c>
    </row>
    <row r="37" spans="1:2" x14ac:dyDescent="0.25">
      <c r="A37" s="47" t="s">
        <v>159</v>
      </c>
      <c r="B37" s="48">
        <f>12078+450</f>
        <v>12528</v>
      </c>
    </row>
    <row r="38" spans="1:2" x14ac:dyDescent="0.25">
      <c r="A38" s="47" t="s">
        <v>158</v>
      </c>
      <c r="B38" s="48">
        <v>10975</v>
      </c>
    </row>
    <row r="39" spans="1:2" x14ac:dyDescent="0.25">
      <c r="A39" s="47" t="s">
        <v>157</v>
      </c>
      <c r="B39" s="48">
        <v>12062</v>
      </c>
    </row>
    <row r="40" spans="1:2" x14ac:dyDescent="0.25">
      <c r="A40" s="47" t="s">
        <v>156</v>
      </c>
      <c r="B40" s="48">
        <f>SUM(B37:B39)</f>
        <v>35565</v>
      </c>
    </row>
    <row r="41" spans="1:2" x14ac:dyDescent="0.25">
      <c r="A41" s="46"/>
      <c r="B41" s="46"/>
    </row>
    <row r="42" spans="1:2" x14ac:dyDescent="0.25">
      <c r="A42" s="48" t="s">
        <v>155</v>
      </c>
      <c r="B42" s="46"/>
    </row>
    <row r="43" spans="1:2" x14ac:dyDescent="0.25">
      <c r="A43" s="46">
        <v>2011</v>
      </c>
      <c r="B43" s="48" t="s">
        <v>154</v>
      </c>
    </row>
    <row r="44" spans="1:2" x14ac:dyDescent="0.25">
      <c r="A44" s="47" t="s">
        <v>153</v>
      </c>
      <c r="B44" s="46" t="s">
        <v>152</v>
      </c>
    </row>
    <row r="45" spans="1:2" x14ac:dyDescent="0.25">
      <c r="A45" s="46"/>
      <c r="B45" s="46"/>
    </row>
    <row r="57" spans="3:9" x14ac:dyDescent="0.25">
      <c r="C57"/>
      <c r="E57"/>
      <c r="F57"/>
      <c r="G57"/>
      <c r="H57"/>
      <c r="I57"/>
    </row>
  </sheetData>
  <mergeCells count="10">
    <mergeCell ref="D1:J1"/>
    <mergeCell ref="A6:B6"/>
    <mergeCell ref="A25:B25"/>
    <mergeCell ref="B15:B16"/>
    <mergeCell ref="E9:H9"/>
    <mergeCell ref="K22:O24"/>
    <mergeCell ref="E8:J8"/>
    <mergeCell ref="K10:O11"/>
    <mergeCell ref="K12:O16"/>
    <mergeCell ref="K18:O20"/>
  </mergeCells>
  <pageMargins left="0.7" right="0.7" top="0.75" bottom="0.75" header="0.3" footer="0.3"/>
  <pageSetup scale="56"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tint="0.59999389629810485"/>
    <pageSetUpPr fitToPage="1"/>
  </sheetPr>
  <dimension ref="A1:AB44"/>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9" width="18" style="20" customWidth="1"/>
    <col min="10" max="10" width="15.7109375" customWidth="1"/>
    <col min="16" max="16" width="9.140625" customWidth="1"/>
    <col min="17" max="17" width="11.140625" style="121" customWidth="1"/>
  </cols>
  <sheetData>
    <row r="1" spans="1:28" ht="73.900000000000006" customHeight="1" x14ac:dyDescent="0.3">
      <c r="A1" s="114" t="s">
        <v>207</v>
      </c>
      <c r="B1" s="45" t="s">
        <v>134</v>
      </c>
      <c r="D1" s="406" t="s">
        <v>683</v>
      </c>
      <c r="E1" s="407"/>
      <c r="F1" s="407"/>
      <c r="G1" s="407"/>
      <c r="H1" s="407"/>
      <c r="I1" s="407"/>
      <c r="J1" s="408"/>
    </row>
    <row r="2" spans="1:28" x14ac:dyDescent="0.25">
      <c r="A2" s="118" t="s">
        <v>514</v>
      </c>
      <c r="D2" s="1"/>
      <c r="E2" s="1"/>
      <c r="F2" s="1"/>
      <c r="G2" s="1"/>
      <c r="H2" s="1"/>
      <c r="I2" s="1"/>
      <c r="J2" s="1"/>
      <c r="K2" s="1"/>
    </row>
    <row r="3" spans="1:28" ht="15" customHeight="1" x14ac:dyDescent="0.25">
      <c r="A3" s="2" t="s">
        <v>8</v>
      </c>
      <c r="B3" s="2"/>
    </row>
    <row r="4" spans="1:28" ht="15" customHeight="1" x14ac:dyDescent="0.25">
      <c r="A4" s="9" t="s">
        <v>9</v>
      </c>
      <c r="B4" s="9"/>
      <c r="D4">
        <f>27.75/26.8</f>
        <v>1.0354477611940298</v>
      </c>
      <c r="G4" s="20" t="s">
        <v>134</v>
      </c>
    </row>
    <row r="5" spans="1:28" x14ac:dyDescent="0.25">
      <c r="C5" s="1" t="s">
        <v>31</v>
      </c>
      <c r="J5" s="20"/>
      <c r="K5" s="20"/>
      <c r="L5" s="20"/>
    </row>
    <row r="6" spans="1:28" x14ac:dyDescent="0.25">
      <c r="A6" s="350" t="s">
        <v>10</v>
      </c>
      <c r="B6" s="351"/>
    </row>
    <row r="7" spans="1:28" ht="21" customHeight="1" x14ac:dyDescent="0.25">
      <c r="A7" s="3" t="s">
        <v>0</v>
      </c>
      <c r="B7" s="3" t="s">
        <v>207</v>
      </c>
      <c r="F7" s="57" t="s">
        <v>150</v>
      </c>
      <c r="G7" s="50">
        <v>1</v>
      </c>
      <c r="J7" s="20" t="s">
        <v>169</v>
      </c>
      <c r="K7" s="53">
        <v>0</v>
      </c>
      <c r="L7" s="20" t="s">
        <v>168</v>
      </c>
      <c r="M7" t="s">
        <v>167</v>
      </c>
    </row>
    <row r="8" spans="1:28" ht="100.15" customHeight="1" x14ac:dyDescent="0.25">
      <c r="A8" s="3" t="s">
        <v>2</v>
      </c>
      <c r="B8" s="157" t="s">
        <v>682</v>
      </c>
      <c r="C8" s="56" t="s">
        <v>206</v>
      </c>
      <c r="E8" s="352" t="s">
        <v>100</v>
      </c>
      <c r="F8" s="352"/>
      <c r="G8" s="352"/>
      <c r="H8" s="352"/>
      <c r="I8" s="352"/>
      <c r="J8" s="352"/>
    </row>
    <row r="9" spans="1:28" ht="90.75" thickBot="1" x14ac:dyDescent="0.3">
      <c r="A9" s="3" t="s">
        <v>1</v>
      </c>
      <c r="B9" s="3" t="s">
        <v>205</v>
      </c>
      <c r="C9" s="1" t="s">
        <v>48</v>
      </c>
      <c r="E9" s="353" t="s">
        <v>53</v>
      </c>
      <c r="F9" s="354"/>
      <c r="G9" s="354"/>
      <c r="H9" s="355"/>
      <c r="I9" s="72"/>
      <c r="J9" s="86" t="str">
        <f>B14</f>
        <v xml:space="preserve">35 MW (The combined top nameplate ratings of the three smallest transformers) </v>
      </c>
      <c r="K9" t="s">
        <v>74</v>
      </c>
      <c r="Q9" s="36" t="s">
        <v>76</v>
      </c>
      <c r="R9" s="36"/>
      <c r="S9" s="36"/>
      <c r="T9" s="36"/>
      <c r="U9" s="36"/>
      <c r="V9" s="36"/>
      <c r="W9" s="36"/>
      <c r="X9" s="36"/>
      <c r="Y9" s="36"/>
      <c r="Z9" s="36"/>
      <c r="AA9" s="36"/>
      <c r="AB9" s="36"/>
    </row>
    <row r="10" spans="1:28" ht="48" customHeight="1" thickBot="1" x14ac:dyDescent="0.3">
      <c r="A10" s="3" t="s">
        <v>4</v>
      </c>
      <c r="B10" s="3" t="s">
        <v>102</v>
      </c>
      <c r="C10" s="1" t="s">
        <v>3</v>
      </c>
      <c r="E10" s="30" t="s">
        <v>75</v>
      </c>
      <c r="F10" s="31" t="s">
        <v>147</v>
      </c>
      <c r="G10" s="31" t="s">
        <v>146</v>
      </c>
      <c r="H10" s="93" t="s">
        <v>90</v>
      </c>
      <c r="I10" s="93" t="s">
        <v>165</v>
      </c>
      <c r="J10" s="31" t="s">
        <v>144</v>
      </c>
      <c r="K10" s="344" t="s">
        <v>92</v>
      </c>
      <c r="L10" s="345"/>
      <c r="M10" s="345"/>
      <c r="N10" s="345"/>
      <c r="O10" s="345"/>
      <c r="Q10" s="36" t="s">
        <v>77</v>
      </c>
      <c r="R10" s="41">
        <v>0.9</v>
      </c>
      <c r="S10" s="39">
        <v>0.8</v>
      </c>
      <c r="T10" s="39">
        <v>0.7</v>
      </c>
      <c r="U10" s="40">
        <v>0.6</v>
      </c>
      <c r="V10" s="41">
        <v>0.5</v>
      </c>
      <c r="W10" s="39">
        <v>0.4</v>
      </c>
      <c r="X10" s="39">
        <v>0.3</v>
      </c>
      <c r="Y10" s="39">
        <v>0.2</v>
      </c>
      <c r="Z10" s="39">
        <v>0.1</v>
      </c>
      <c r="AA10" s="39">
        <v>0.05</v>
      </c>
      <c r="AB10" s="38">
        <v>18537</v>
      </c>
    </row>
    <row r="11" spans="1:28" ht="42.6" customHeight="1" x14ac:dyDescent="0.25">
      <c r="A11" s="7" t="s">
        <v>49</v>
      </c>
      <c r="B11" s="109" t="s">
        <v>680</v>
      </c>
      <c r="E11" s="26">
        <v>2013</v>
      </c>
      <c r="F11" s="32" t="s">
        <v>137</v>
      </c>
      <c r="G11" s="105">
        <f>17.1+(1.967*0.9)</f>
        <v>18.8703</v>
      </c>
      <c r="H11" s="105">
        <f>(17.1+(1.967))</f>
        <v>19.067</v>
      </c>
      <c r="I11" s="106">
        <f>+H11-'Misc Data'!F42</f>
        <v>19.067</v>
      </c>
      <c r="J11" s="107">
        <f>+H11-21</f>
        <v>-1.9329999999999998</v>
      </c>
      <c r="K11" s="344"/>
      <c r="L11" s="345"/>
      <c r="M11" s="345"/>
      <c r="N11" s="345"/>
      <c r="O11" s="345"/>
      <c r="Q11" s="36">
        <v>2011</v>
      </c>
      <c r="R11" s="36">
        <v>1030</v>
      </c>
      <c r="S11" s="36">
        <v>1035</v>
      </c>
      <c r="T11" s="36">
        <v>1040</v>
      </c>
      <c r="U11" s="36">
        <v>1050</v>
      </c>
      <c r="V11" s="36">
        <v>1070</v>
      </c>
      <c r="W11" s="36">
        <v>1075</v>
      </c>
      <c r="X11" s="36">
        <v>1090</v>
      </c>
      <c r="Y11" s="36">
        <v>1095</v>
      </c>
      <c r="Z11" s="36">
        <v>1110</v>
      </c>
      <c r="AA11" s="36">
        <v>1110</v>
      </c>
      <c r="AB11" s="36">
        <v>1.0373829999999999</v>
      </c>
    </row>
    <row r="12" spans="1:28" ht="15" customHeight="1" x14ac:dyDescent="0.25">
      <c r="A12" s="7" t="s">
        <v>50</v>
      </c>
      <c r="B12" s="81" t="s">
        <v>681</v>
      </c>
      <c r="E12" s="26">
        <f t="shared" ref="E12:E30" si="0">+E11+1</f>
        <v>2014</v>
      </c>
      <c r="F12" s="32" t="s">
        <v>137</v>
      </c>
      <c r="G12" s="32">
        <f t="shared" ref="G12:H18" si="1">+G11</f>
        <v>18.8703</v>
      </c>
      <c r="H12" s="108">
        <f t="shared" si="1"/>
        <v>19.067</v>
      </c>
      <c r="I12" s="106"/>
      <c r="J12" s="3"/>
      <c r="K12" s="344" t="s">
        <v>91</v>
      </c>
      <c r="L12" s="345"/>
      <c r="M12" s="345"/>
      <c r="N12" s="345"/>
      <c r="O12" s="345"/>
      <c r="Q12" s="36">
        <v>2012</v>
      </c>
      <c r="R12" s="36">
        <v>1050</v>
      </c>
      <c r="S12" s="36">
        <v>1055</v>
      </c>
      <c r="T12" s="36">
        <v>1060</v>
      </c>
      <c r="U12" s="36">
        <v>1070</v>
      </c>
      <c r="V12" s="36">
        <v>1090</v>
      </c>
      <c r="W12" s="36">
        <v>1095</v>
      </c>
      <c r="X12" s="36">
        <v>1115</v>
      </c>
      <c r="Y12" s="36">
        <v>1120</v>
      </c>
      <c r="Z12" s="36">
        <v>1125</v>
      </c>
      <c r="AA12" s="36">
        <v>1135</v>
      </c>
      <c r="AB12" s="36">
        <v>1.0321100000000001</v>
      </c>
    </row>
    <row r="13" spans="1:28" ht="42.6" customHeight="1" x14ac:dyDescent="0.25">
      <c r="A13" s="7" t="s">
        <v>51</v>
      </c>
      <c r="B13" s="165"/>
      <c r="C13" s="1" t="s">
        <v>52</v>
      </c>
      <c r="E13" s="26">
        <f t="shared" si="0"/>
        <v>2015</v>
      </c>
      <c r="F13" s="32" t="s">
        <v>137</v>
      </c>
      <c r="G13" s="32">
        <f t="shared" si="1"/>
        <v>18.8703</v>
      </c>
      <c r="H13" s="108">
        <f t="shared" si="1"/>
        <v>19.067</v>
      </c>
      <c r="I13" s="106"/>
      <c r="J13" s="3"/>
      <c r="K13" s="344"/>
      <c r="L13" s="345"/>
      <c r="M13" s="345"/>
      <c r="N13" s="345"/>
      <c r="O13" s="345"/>
      <c r="Q13" s="36">
        <v>2013</v>
      </c>
      <c r="R13" s="36">
        <v>1065</v>
      </c>
      <c r="S13" s="36">
        <v>1070</v>
      </c>
      <c r="T13" s="36">
        <v>1075</v>
      </c>
      <c r="U13" s="36">
        <v>1085</v>
      </c>
      <c r="V13" s="36">
        <v>1105</v>
      </c>
      <c r="W13" s="36">
        <v>1110</v>
      </c>
      <c r="X13" s="36">
        <v>1130</v>
      </c>
      <c r="Y13" s="36">
        <v>1135</v>
      </c>
      <c r="Z13" s="36">
        <v>1150</v>
      </c>
      <c r="AA13" s="36">
        <v>1150</v>
      </c>
      <c r="AB13" s="36">
        <v>1.040724</v>
      </c>
    </row>
    <row r="14" spans="1:28" ht="43.5" customHeight="1" x14ac:dyDescent="0.25">
      <c r="A14" s="7" t="s">
        <v>53</v>
      </c>
      <c r="B14" s="18" t="s">
        <v>679</v>
      </c>
      <c r="E14" s="26">
        <f t="shared" si="0"/>
        <v>2016</v>
      </c>
      <c r="F14" s="32" t="s">
        <v>137</v>
      </c>
      <c r="G14" s="32">
        <f t="shared" si="1"/>
        <v>18.8703</v>
      </c>
      <c r="H14" s="108">
        <f t="shared" si="1"/>
        <v>19.067</v>
      </c>
      <c r="I14" s="106"/>
      <c r="J14" s="3"/>
      <c r="K14" s="344"/>
      <c r="L14" s="345"/>
      <c r="M14" s="345"/>
      <c r="N14" s="345"/>
      <c r="O14" s="345"/>
      <c r="Q14" s="36">
        <v>2014</v>
      </c>
      <c r="R14" s="36">
        <v>1080</v>
      </c>
      <c r="S14" s="36">
        <v>1085</v>
      </c>
      <c r="T14" s="36">
        <v>1090</v>
      </c>
      <c r="U14" s="36">
        <v>1100</v>
      </c>
      <c r="V14" s="36">
        <v>1120</v>
      </c>
      <c r="W14" s="36">
        <v>1125</v>
      </c>
      <c r="X14" s="36">
        <v>1145</v>
      </c>
      <c r="Y14" s="36">
        <v>1150</v>
      </c>
      <c r="Z14" s="36">
        <v>1165</v>
      </c>
      <c r="AA14" s="36">
        <v>1170</v>
      </c>
      <c r="AB14" s="36">
        <v>1.040179</v>
      </c>
    </row>
    <row r="15" spans="1:28" x14ac:dyDescent="0.25">
      <c r="A15" s="81" t="s">
        <v>41</v>
      </c>
      <c r="B15" s="381"/>
      <c r="E15" s="26">
        <f t="shared" si="0"/>
        <v>2017</v>
      </c>
      <c r="F15" s="32" t="s">
        <v>137</v>
      </c>
      <c r="G15" s="32">
        <f t="shared" si="1"/>
        <v>18.8703</v>
      </c>
      <c r="H15" s="108">
        <f t="shared" si="1"/>
        <v>19.067</v>
      </c>
      <c r="I15" s="106"/>
      <c r="J15" s="3"/>
      <c r="K15" s="344"/>
      <c r="L15" s="345"/>
      <c r="M15" s="345"/>
      <c r="N15" s="345"/>
      <c r="O15" s="345"/>
      <c r="Q15" s="36">
        <v>2015</v>
      </c>
      <c r="R15" s="36">
        <v>1095</v>
      </c>
      <c r="S15" s="36">
        <v>1100</v>
      </c>
      <c r="T15" s="36">
        <v>1105</v>
      </c>
      <c r="U15" s="36">
        <v>1115</v>
      </c>
      <c r="V15" s="36">
        <v>1135</v>
      </c>
      <c r="W15" s="36">
        <v>1140</v>
      </c>
      <c r="X15" s="36">
        <v>1160</v>
      </c>
      <c r="Y15" s="36">
        <v>1165</v>
      </c>
      <c r="Z15" s="36">
        <v>1170</v>
      </c>
      <c r="AA15" s="36">
        <v>1180</v>
      </c>
      <c r="AB15" s="36">
        <v>1.030837</v>
      </c>
    </row>
    <row r="16" spans="1:28" ht="60.75" customHeight="1" x14ac:dyDescent="0.25">
      <c r="A16" s="81" t="s">
        <v>7</v>
      </c>
      <c r="B16" s="382"/>
      <c r="C16" s="1" t="s">
        <v>21</v>
      </c>
      <c r="E16" s="26">
        <f t="shared" si="0"/>
        <v>2018</v>
      </c>
      <c r="F16" s="32" t="s">
        <v>137</v>
      </c>
      <c r="G16" s="32">
        <f t="shared" si="1"/>
        <v>18.8703</v>
      </c>
      <c r="H16" s="108">
        <f t="shared" si="1"/>
        <v>19.067</v>
      </c>
      <c r="I16" s="106"/>
      <c r="J16" s="3"/>
      <c r="K16" s="356"/>
      <c r="L16" s="357"/>
      <c r="M16" s="357"/>
      <c r="N16" s="357"/>
      <c r="O16" s="357"/>
      <c r="Q16" s="36">
        <v>2016</v>
      </c>
      <c r="R16" s="36">
        <v>1105</v>
      </c>
      <c r="S16" s="36">
        <v>1110</v>
      </c>
      <c r="T16" s="36">
        <v>1115</v>
      </c>
      <c r="U16" s="36">
        <v>1125</v>
      </c>
      <c r="V16" s="36">
        <v>1145</v>
      </c>
      <c r="W16" s="36">
        <v>1150</v>
      </c>
      <c r="X16" s="36">
        <v>1170</v>
      </c>
      <c r="Y16" s="36">
        <v>1175</v>
      </c>
      <c r="Z16" s="36">
        <v>1190</v>
      </c>
      <c r="AA16" s="36">
        <v>1195</v>
      </c>
      <c r="AB16" s="36">
        <v>1.039301</v>
      </c>
    </row>
    <row r="17" spans="1:28" x14ac:dyDescent="0.25">
      <c r="A17" s="81" t="s">
        <v>72</v>
      </c>
      <c r="B17" s="81" t="s">
        <v>164</v>
      </c>
      <c r="C17" s="1" t="s">
        <v>73</v>
      </c>
      <c r="E17" s="26">
        <f t="shared" si="0"/>
        <v>2019</v>
      </c>
      <c r="F17" s="32" t="s">
        <v>137</v>
      </c>
      <c r="G17" s="32">
        <f t="shared" si="1"/>
        <v>18.8703</v>
      </c>
      <c r="H17" s="108">
        <f t="shared" si="1"/>
        <v>19.067</v>
      </c>
      <c r="I17" s="106"/>
      <c r="J17" s="3"/>
      <c r="K17" s="27" t="s">
        <v>89</v>
      </c>
      <c r="L17" s="28"/>
      <c r="M17" s="28"/>
      <c r="N17" s="28"/>
      <c r="O17" s="29"/>
      <c r="Q17" s="36">
        <v>2017</v>
      </c>
      <c r="R17" s="36">
        <v>1115</v>
      </c>
      <c r="S17" s="36">
        <v>1120</v>
      </c>
      <c r="T17" s="36">
        <v>1125</v>
      </c>
      <c r="U17" s="36">
        <v>1135</v>
      </c>
      <c r="V17" s="36">
        <v>1155</v>
      </c>
      <c r="W17" s="36">
        <v>1160</v>
      </c>
      <c r="X17" s="36">
        <v>1180</v>
      </c>
      <c r="Y17" s="36">
        <v>1185</v>
      </c>
      <c r="Z17" s="36">
        <v>1195</v>
      </c>
      <c r="AA17" s="36">
        <v>1205</v>
      </c>
      <c r="AB17" s="36">
        <v>1.034632</v>
      </c>
    </row>
    <row r="18" spans="1:28" x14ac:dyDescent="0.25">
      <c r="A18" s="81" t="s">
        <v>68</v>
      </c>
      <c r="B18" s="82" t="s">
        <v>163</v>
      </c>
      <c r="C18" s="1" t="s">
        <v>69</v>
      </c>
      <c r="E18" s="26">
        <f t="shared" si="0"/>
        <v>2020</v>
      </c>
      <c r="F18" s="32" t="s">
        <v>137</v>
      </c>
      <c r="G18" s="32">
        <f t="shared" si="1"/>
        <v>18.8703</v>
      </c>
      <c r="H18" s="108">
        <f t="shared" si="1"/>
        <v>19.067</v>
      </c>
      <c r="I18" s="106"/>
      <c r="J18" s="3"/>
      <c r="K18" s="394" t="s">
        <v>203</v>
      </c>
      <c r="L18" s="395"/>
      <c r="M18" s="395"/>
      <c r="N18" s="395"/>
      <c r="O18" s="396"/>
      <c r="Q18" s="36">
        <v>2018</v>
      </c>
      <c r="R18" s="36">
        <v>1125</v>
      </c>
      <c r="S18" s="36">
        <v>1130</v>
      </c>
      <c r="T18" s="36">
        <v>1140</v>
      </c>
      <c r="U18" s="36">
        <v>1150</v>
      </c>
      <c r="V18" s="36">
        <v>1170</v>
      </c>
      <c r="W18" s="36">
        <v>1175</v>
      </c>
      <c r="X18" s="36">
        <v>1195</v>
      </c>
      <c r="Y18" s="36">
        <v>1200</v>
      </c>
      <c r="Z18" s="36">
        <v>1215</v>
      </c>
      <c r="AA18" s="36">
        <v>1215</v>
      </c>
      <c r="AB18" s="36">
        <v>1.038462</v>
      </c>
    </row>
    <row r="19" spans="1:28" ht="21" customHeight="1" x14ac:dyDescent="0.25">
      <c r="A19" s="81" t="s">
        <v>67</v>
      </c>
      <c r="B19" s="81" t="s">
        <v>394</v>
      </c>
      <c r="C19" s="1" t="s">
        <v>70</v>
      </c>
      <c r="E19" s="26">
        <f t="shared" si="0"/>
        <v>2021</v>
      </c>
      <c r="F19" s="26"/>
      <c r="G19" s="26"/>
      <c r="H19" s="26"/>
      <c r="I19" s="26"/>
      <c r="J19" s="3"/>
      <c r="K19" s="397"/>
      <c r="L19" s="398"/>
      <c r="M19" s="398"/>
      <c r="N19" s="398"/>
      <c r="O19" s="399"/>
      <c r="Q19" s="36">
        <v>2019</v>
      </c>
      <c r="R19" s="36">
        <v>1135</v>
      </c>
      <c r="S19" s="36">
        <v>1140</v>
      </c>
      <c r="T19" s="36">
        <v>1150</v>
      </c>
      <c r="U19" s="36">
        <v>1160</v>
      </c>
      <c r="V19" s="36">
        <v>1180</v>
      </c>
      <c r="W19" s="36">
        <v>1185</v>
      </c>
      <c r="X19" s="36">
        <v>1205</v>
      </c>
      <c r="Y19" s="36">
        <v>1210</v>
      </c>
      <c r="Z19" s="36">
        <v>1225</v>
      </c>
      <c r="AA19" s="36">
        <v>1230</v>
      </c>
      <c r="AB19" s="36">
        <v>1.0381359999999999</v>
      </c>
    </row>
    <row r="20" spans="1:28" ht="48.75" customHeight="1" x14ac:dyDescent="0.25">
      <c r="A20" s="3" t="s">
        <v>98</v>
      </c>
      <c r="B20" s="90" t="s">
        <v>202</v>
      </c>
      <c r="C20" s="1" t="s">
        <v>58</v>
      </c>
      <c r="E20" s="26">
        <f t="shared" si="0"/>
        <v>2022</v>
      </c>
      <c r="F20" s="26"/>
      <c r="G20" s="26"/>
      <c r="H20" s="26"/>
      <c r="I20" s="26"/>
      <c r="J20" s="3"/>
      <c r="K20" s="400"/>
      <c r="L20" s="401"/>
      <c r="M20" s="401"/>
      <c r="N20" s="401"/>
      <c r="O20" s="402"/>
      <c r="Q20" s="36">
        <v>2020</v>
      </c>
      <c r="R20" s="36">
        <v>1145</v>
      </c>
      <c r="S20" s="36">
        <v>1150</v>
      </c>
      <c r="T20" s="36">
        <v>1155</v>
      </c>
      <c r="U20" s="36">
        <v>1170</v>
      </c>
      <c r="V20" s="36">
        <v>1190</v>
      </c>
      <c r="W20" s="36">
        <v>1195</v>
      </c>
      <c r="X20" s="36">
        <v>1215</v>
      </c>
      <c r="Y20" s="36">
        <v>1225</v>
      </c>
      <c r="Z20" s="36">
        <v>1235</v>
      </c>
      <c r="AA20" s="36">
        <v>1240</v>
      </c>
      <c r="AB20" s="36">
        <v>1.0378149999999999</v>
      </c>
    </row>
    <row r="21" spans="1:28" x14ac:dyDescent="0.25">
      <c r="A21" s="3" t="s">
        <v>5</v>
      </c>
      <c r="B21" s="16">
        <v>2500000</v>
      </c>
      <c r="C21" s="1" t="s">
        <v>6</v>
      </c>
      <c r="E21" s="26">
        <f t="shared" si="0"/>
        <v>2023</v>
      </c>
      <c r="F21" s="26"/>
      <c r="G21" s="26"/>
      <c r="H21" s="26"/>
      <c r="I21" s="26"/>
      <c r="J21" s="3"/>
      <c r="Q21" s="36" t="s">
        <v>78</v>
      </c>
      <c r="R21" s="36"/>
      <c r="S21" s="36"/>
      <c r="T21" s="36"/>
      <c r="U21" s="36"/>
      <c r="V21" s="36"/>
      <c r="W21" s="36"/>
      <c r="X21" s="36"/>
      <c r="Y21" s="36"/>
      <c r="Z21" s="36"/>
      <c r="AA21" s="36"/>
      <c r="AB21" s="36"/>
    </row>
    <row r="22" spans="1:28" ht="34.5" customHeight="1" x14ac:dyDescent="0.25">
      <c r="A22" s="3" t="s">
        <v>55</v>
      </c>
      <c r="B22" s="92" t="s">
        <v>191</v>
      </c>
      <c r="C22" s="1" t="s">
        <v>54</v>
      </c>
      <c r="E22" s="26">
        <f t="shared" si="0"/>
        <v>2024</v>
      </c>
      <c r="F22" s="26"/>
      <c r="G22" s="26"/>
      <c r="H22" s="26"/>
      <c r="I22" s="26"/>
      <c r="J22" s="3"/>
      <c r="K22" s="344" t="s">
        <v>96</v>
      </c>
      <c r="L22" s="345"/>
      <c r="M22" s="345"/>
      <c r="N22" s="345"/>
      <c r="O22" s="345"/>
      <c r="Q22" s="36" t="s">
        <v>79</v>
      </c>
      <c r="R22" s="36">
        <v>1030</v>
      </c>
      <c r="S22" s="36">
        <v>1035</v>
      </c>
      <c r="T22" s="36">
        <v>1035</v>
      </c>
      <c r="U22" s="36">
        <v>1035</v>
      </c>
      <c r="V22" s="36">
        <v>1045</v>
      </c>
      <c r="W22" s="36">
        <v>1050</v>
      </c>
      <c r="X22" s="36">
        <v>1055</v>
      </c>
      <c r="Y22" s="36">
        <v>1055</v>
      </c>
      <c r="Z22" s="36">
        <v>1060</v>
      </c>
      <c r="AA22" s="36">
        <v>1070</v>
      </c>
      <c r="AB22" s="36">
        <v>1.014354</v>
      </c>
    </row>
    <row r="23" spans="1:28" ht="30.75" customHeight="1" x14ac:dyDescent="0.25">
      <c r="A23" s="3" t="s">
        <v>56</v>
      </c>
      <c r="B23" s="16">
        <f>+B21/6</f>
        <v>416666.66666666669</v>
      </c>
      <c r="C23" s="1" t="s">
        <v>57</v>
      </c>
      <c r="E23" s="26">
        <f t="shared" si="0"/>
        <v>2025</v>
      </c>
      <c r="F23" s="26"/>
      <c r="G23" s="26"/>
      <c r="H23" s="26"/>
      <c r="I23" s="26"/>
      <c r="J23" s="3"/>
      <c r="K23" s="344"/>
      <c r="L23" s="345"/>
      <c r="M23" s="345"/>
      <c r="N23" s="345"/>
      <c r="O23" s="345"/>
      <c r="Q23" s="36" t="s">
        <v>80</v>
      </c>
      <c r="R23" s="36">
        <v>1040</v>
      </c>
      <c r="S23" s="36">
        <v>1045</v>
      </c>
      <c r="T23" s="36">
        <v>1045</v>
      </c>
      <c r="U23" s="36">
        <v>1045</v>
      </c>
      <c r="V23" s="36">
        <v>1055</v>
      </c>
      <c r="W23" s="36">
        <v>1060</v>
      </c>
      <c r="X23" s="36">
        <v>1065</v>
      </c>
      <c r="Y23" s="36">
        <v>1065</v>
      </c>
      <c r="Z23" s="36">
        <v>1070</v>
      </c>
      <c r="AA23" s="36">
        <v>1080</v>
      </c>
      <c r="AB23" s="36">
        <v>1.0142180000000001</v>
      </c>
    </row>
    <row r="24" spans="1:28" x14ac:dyDescent="0.25">
      <c r="A24" s="12"/>
      <c r="B24" s="123" t="s">
        <v>134</v>
      </c>
      <c r="E24" s="26">
        <f t="shared" si="0"/>
        <v>2026</v>
      </c>
      <c r="F24" s="26"/>
      <c r="G24" s="26"/>
      <c r="H24" s="26"/>
      <c r="I24" s="26"/>
      <c r="J24" s="3"/>
      <c r="K24" s="344"/>
      <c r="L24" s="345"/>
      <c r="M24" s="345"/>
      <c r="N24" s="345"/>
      <c r="O24" s="345"/>
      <c r="Q24" s="36" t="s">
        <v>81</v>
      </c>
      <c r="R24" s="36">
        <v>1050</v>
      </c>
      <c r="S24" s="36">
        <v>1055</v>
      </c>
      <c r="T24" s="36">
        <v>1055</v>
      </c>
      <c r="U24" s="36">
        <v>1055</v>
      </c>
      <c r="V24" s="36">
        <v>1065</v>
      </c>
      <c r="W24" s="36">
        <v>1070</v>
      </c>
      <c r="X24" s="36">
        <v>1075</v>
      </c>
      <c r="Y24" s="36">
        <v>1075</v>
      </c>
      <c r="Z24" s="36">
        <v>1080</v>
      </c>
      <c r="AA24" s="36">
        <v>1095</v>
      </c>
      <c r="AB24" s="36">
        <v>1.0140849999999999</v>
      </c>
    </row>
    <row r="25" spans="1:28" x14ac:dyDescent="0.25">
      <c r="A25" s="346" t="s">
        <v>71</v>
      </c>
      <c r="B25" s="346"/>
      <c r="E25" s="26">
        <f t="shared" si="0"/>
        <v>2027</v>
      </c>
      <c r="F25" s="26"/>
      <c r="G25" s="26"/>
      <c r="H25" s="26"/>
      <c r="I25" s="26"/>
      <c r="J25" s="3"/>
      <c r="Q25" s="36" t="s">
        <v>82</v>
      </c>
      <c r="R25" s="36">
        <v>1055</v>
      </c>
      <c r="S25" s="36">
        <v>1060</v>
      </c>
      <c r="T25" s="36">
        <v>1060</v>
      </c>
      <c r="U25" s="36">
        <v>1060</v>
      </c>
      <c r="V25" s="36">
        <v>1070</v>
      </c>
      <c r="W25" s="36">
        <v>1075</v>
      </c>
      <c r="X25" s="36">
        <v>1080</v>
      </c>
      <c r="Y25" s="36">
        <v>1080</v>
      </c>
      <c r="Z25" s="36">
        <v>1085</v>
      </c>
      <c r="AA25" s="36">
        <v>1095</v>
      </c>
      <c r="AB25" s="36">
        <v>1.014019</v>
      </c>
    </row>
    <row r="26" spans="1:28" x14ac:dyDescent="0.25">
      <c r="A26" s="3" t="s">
        <v>28</v>
      </c>
      <c r="B26" s="3"/>
      <c r="E26" s="26">
        <f t="shared" si="0"/>
        <v>2028</v>
      </c>
      <c r="F26" s="26"/>
      <c r="G26" s="26"/>
      <c r="H26" s="26"/>
      <c r="I26" s="26"/>
      <c r="J26" s="3"/>
      <c r="Q26" s="36" t="s">
        <v>83</v>
      </c>
      <c r="R26" s="36">
        <v>1060</v>
      </c>
      <c r="S26" s="36">
        <v>1065</v>
      </c>
      <c r="T26" s="36">
        <v>1065</v>
      </c>
      <c r="U26" s="36">
        <v>1065</v>
      </c>
      <c r="V26" s="36">
        <v>1075</v>
      </c>
      <c r="W26" s="36">
        <v>1080</v>
      </c>
      <c r="X26" s="36">
        <v>1085</v>
      </c>
      <c r="Y26" s="36">
        <v>1085</v>
      </c>
      <c r="Z26" s="36">
        <v>1090</v>
      </c>
      <c r="AA26" s="36">
        <v>1110</v>
      </c>
      <c r="AB26" s="36">
        <v>1.0139530000000001</v>
      </c>
    </row>
    <row r="27" spans="1:28" x14ac:dyDescent="0.25">
      <c r="A27" s="3" t="s">
        <v>29</v>
      </c>
      <c r="B27" s="3"/>
      <c r="E27" s="26">
        <f t="shared" si="0"/>
        <v>2029</v>
      </c>
      <c r="F27" s="26"/>
      <c r="G27" s="26"/>
      <c r="H27" s="26"/>
      <c r="I27" s="26"/>
      <c r="J27" s="3"/>
      <c r="Q27" s="36" t="s">
        <v>84</v>
      </c>
      <c r="R27" s="36">
        <v>1065</v>
      </c>
      <c r="S27" s="36">
        <v>1070</v>
      </c>
      <c r="T27" s="36">
        <v>1070</v>
      </c>
      <c r="U27" s="36">
        <v>1070</v>
      </c>
      <c r="V27" s="36">
        <v>1080</v>
      </c>
      <c r="W27" s="36">
        <v>1085</v>
      </c>
      <c r="X27" s="36">
        <v>1090</v>
      </c>
      <c r="Y27" s="36">
        <v>1090</v>
      </c>
      <c r="Z27" s="36">
        <v>1100</v>
      </c>
      <c r="AA27" s="36">
        <v>1110</v>
      </c>
      <c r="AB27" s="36">
        <v>1.018519</v>
      </c>
    </row>
    <row r="28" spans="1:28" ht="39.75" customHeight="1" x14ac:dyDescent="0.25">
      <c r="A28" s="3" t="s">
        <v>30</v>
      </c>
      <c r="B28" s="17"/>
      <c r="C28" s="1" t="s">
        <v>43</v>
      </c>
      <c r="E28" s="26">
        <f t="shared" si="0"/>
        <v>2030</v>
      </c>
      <c r="F28" s="26"/>
      <c r="G28" s="26"/>
      <c r="H28" s="26"/>
      <c r="I28" s="26"/>
      <c r="J28" s="3"/>
      <c r="Q28" s="36" t="s">
        <v>85</v>
      </c>
      <c r="R28" s="36">
        <v>1075</v>
      </c>
      <c r="S28" s="36">
        <v>1080</v>
      </c>
      <c r="T28" s="36">
        <v>1080</v>
      </c>
      <c r="U28" s="36">
        <v>1080</v>
      </c>
      <c r="V28" s="36">
        <v>1090</v>
      </c>
      <c r="W28" s="36">
        <v>1095</v>
      </c>
      <c r="X28" s="36">
        <v>1100</v>
      </c>
      <c r="Y28" s="36">
        <v>1100</v>
      </c>
      <c r="Z28" s="36">
        <v>1105</v>
      </c>
      <c r="AA28" s="36">
        <v>1120</v>
      </c>
      <c r="AB28" s="36">
        <v>1.0137609999999999</v>
      </c>
    </row>
    <row r="29" spans="1:28" x14ac:dyDescent="0.25">
      <c r="A29" s="3" t="s">
        <v>44</v>
      </c>
      <c r="B29" s="3"/>
      <c r="E29" s="26">
        <f t="shared" si="0"/>
        <v>2031</v>
      </c>
      <c r="F29" s="26"/>
      <c r="G29" s="26"/>
      <c r="H29" s="26"/>
      <c r="I29" s="26"/>
      <c r="J29" s="3"/>
      <c r="Q29" s="36" t="s">
        <v>86</v>
      </c>
      <c r="R29" s="36">
        <v>1080</v>
      </c>
      <c r="S29" s="36">
        <v>1085</v>
      </c>
      <c r="T29" s="36">
        <v>1085</v>
      </c>
      <c r="U29" s="36">
        <v>1085</v>
      </c>
      <c r="V29" s="36">
        <v>1095</v>
      </c>
      <c r="W29" s="36">
        <v>1100</v>
      </c>
      <c r="X29" s="36">
        <v>1105</v>
      </c>
      <c r="Y29" s="36">
        <v>1105</v>
      </c>
      <c r="Z29" s="36">
        <v>1110</v>
      </c>
      <c r="AA29" s="36">
        <v>1120</v>
      </c>
      <c r="AB29" s="36">
        <v>1.0136989999999999</v>
      </c>
    </row>
    <row r="30" spans="1:28" x14ac:dyDescent="0.25">
      <c r="A30" s="3" t="s">
        <v>47</v>
      </c>
      <c r="B30" s="3"/>
      <c r="E30" s="26">
        <f t="shared" si="0"/>
        <v>2032</v>
      </c>
      <c r="F30" s="26"/>
      <c r="G30" s="26"/>
      <c r="H30" s="26"/>
      <c r="I30" s="26"/>
      <c r="J30" s="3"/>
      <c r="Q30" s="36" t="s">
        <v>87</v>
      </c>
      <c r="R30" s="36">
        <v>1085</v>
      </c>
      <c r="S30" s="36">
        <v>1090</v>
      </c>
      <c r="T30" s="36">
        <v>1090</v>
      </c>
      <c r="U30" s="36">
        <v>1090</v>
      </c>
      <c r="V30" s="36">
        <v>1100</v>
      </c>
      <c r="W30" s="36">
        <v>1105</v>
      </c>
      <c r="X30" s="36">
        <v>1110</v>
      </c>
      <c r="Y30" s="36">
        <v>1110</v>
      </c>
      <c r="Z30" s="36">
        <v>1115</v>
      </c>
      <c r="AA30" s="36">
        <v>1125</v>
      </c>
      <c r="AB30" s="36">
        <v>1.013636</v>
      </c>
    </row>
    <row r="31" spans="1:28" x14ac:dyDescent="0.25">
      <c r="A31" s="3" t="s">
        <v>45</v>
      </c>
      <c r="B31" s="3"/>
      <c r="Q31" s="36" t="s">
        <v>88</v>
      </c>
      <c r="R31" s="36">
        <v>1090</v>
      </c>
      <c r="S31" s="36">
        <v>1095</v>
      </c>
      <c r="T31" s="36">
        <v>1095</v>
      </c>
      <c r="U31" s="36">
        <v>1095</v>
      </c>
      <c r="V31" s="36">
        <v>1105</v>
      </c>
      <c r="W31" s="36">
        <v>1110</v>
      </c>
      <c r="X31" s="36">
        <v>1115</v>
      </c>
      <c r="Y31" s="36">
        <v>1115</v>
      </c>
      <c r="Z31" s="36">
        <v>1120</v>
      </c>
      <c r="AA31" s="36">
        <v>1130</v>
      </c>
      <c r="AB31" s="36">
        <v>1.0135749999999999</v>
      </c>
    </row>
    <row r="32" spans="1:28" ht="13.5" customHeight="1" x14ac:dyDescent="0.25">
      <c r="C32"/>
      <c r="E32"/>
      <c r="F32"/>
      <c r="G32"/>
      <c r="H32"/>
      <c r="I32"/>
    </row>
    <row r="44" spans="3:9" x14ac:dyDescent="0.25">
      <c r="C44"/>
      <c r="E44"/>
      <c r="F44"/>
      <c r="G44"/>
      <c r="H44"/>
      <c r="I44"/>
    </row>
  </sheetData>
  <mergeCells count="10">
    <mergeCell ref="D1:J1"/>
    <mergeCell ref="K18:O20"/>
    <mergeCell ref="K22:O24"/>
    <mergeCell ref="A25:B25"/>
    <mergeCell ref="A6:B6"/>
    <mergeCell ref="E8:J8"/>
    <mergeCell ref="E9:H9"/>
    <mergeCell ref="K10:O11"/>
    <mergeCell ref="K12:O16"/>
    <mergeCell ref="B15:B16"/>
  </mergeCells>
  <pageMargins left="0.7" right="0.7" top="0.75" bottom="0.75" header="0.3" footer="0.3"/>
  <pageSetup scale="56"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59999389629810485"/>
  </sheetPr>
  <dimension ref="A1:AA34"/>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28515625" style="121" customWidth="1"/>
  </cols>
  <sheetData>
    <row r="1" spans="1:27" ht="74.45" customHeight="1" x14ac:dyDescent="0.3">
      <c r="A1" s="112" t="s">
        <v>276</v>
      </c>
      <c r="B1" s="10"/>
      <c r="C1" s="347" t="s">
        <v>473</v>
      </c>
      <c r="D1" s="348"/>
      <c r="E1" s="348"/>
      <c r="F1" s="349"/>
    </row>
    <row r="2" spans="1:27" ht="30" customHeight="1" x14ac:dyDescent="0.25">
      <c r="A2" s="58" t="s">
        <v>460</v>
      </c>
    </row>
    <row r="3" spans="1:27" ht="15" customHeight="1" x14ac:dyDescent="0.25">
      <c r="A3" s="2" t="s">
        <v>8</v>
      </c>
      <c r="B3" s="2"/>
    </row>
    <row r="4" spans="1:27" ht="15" customHeight="1" x14ac:dyDescent="0.25">
      <c r="A4" s="9" t="s">
        <v>9</v>
      </c>
      <c r="B4" s="9"/>
    </row>
    <row r="5" spans="1:27" x14ac:dyDescent="0.25">
      <c r="C5" s="1" t="s">
        <v>31</v>
      </c>
    </row>
    <row r="6" spans="1:27" x14ac:dyDescent="0.25">
      <c r="A6" s="373" t="s">
        <v>10</v>
      </c>
      <c r="B6" s="374"/>
    </row>
    <row r="7" spans="1:27" ht="21" customHeight="1" x14ac:dyDescent="0.25">
      <c r="A7" s="3" t="s">
        <v>0</v>
      </c>
      <c r="B7" s="3" t="s">
        <v>276</v>
      </c>
    </row>
    <row r="8" spans="1:27" ht="66" customHeight="1" x14ac:dyDescent="0.25">
      <c r="A8" s="3" t="s">
        <v>2</v>
      </c>
      <c r="B8" s="33" t="s">
        <v>277</v>
      </c>
    </row>
    <row r="9" spans="1:27" ht="147.75" customHeight="1" x14ac:dyDescent="0.25">
      <c r="A9" s="3" t="s">
        <v>257</v>
      </c>
      <c r="B9" s="85" t="s">
        <v>280</v>
      </c>
      <c r="E9" s="409" t="s">
        <v>100</v>
      </c>
      <c r="F9" s="409"/>
      <c r="G9" s="409"/>
      <c r="H9" s="409"/>
      <c r="I9" s="409"/>
    </row>
    <row r="10" spans="1:27" ht="45.75" thickBot="1" x14ac:dyDescent="0.3">
      <c r="A10" s="3" t="s">
        <v>1</v>
      </c>
      <c r="B10" s="3" t="s">
        <v>279</v>
      </c>
      <c r="C10" s="1" t="s">
        <v>48</v>
      </c>
      <c r="E10" s="353" t="s">
        <v>53</v>
      </c>
      <c r="F10" s="354"/>
      <c r="G10" s="354"/>
      <c r="H10" s="355"/>
      <c r="I10" s="86" t="str">
        <f>B15</f>
        <v>14 MVA top nameplate of transformer</v>
      </c>
      <c r="J10" t="s">
        <v>74</v>
      </c>
      <c r="P10" s="21" t="s">
        <v>76</v>
      </c>
      <c r="Q10" s="21"/>
      <c r="R10" s="21"/>
      <c r="S10" s="21"/>
      <c r="T10" s="21"/>
      <c r="U10" s="21"/>
      <c r="V10" s="21"/>
      <c r="W10" s="21"/>
      <c r="X10" s="21"/>
      <c r="Y10" s="21"/>
      <c r="Z10" s="21"/>
      <c r="AA10" s="21"/>
    </row>
    <row r="11" spans="1:27" ht="48" customHeight="1" thickBot="1" x14ac:dyDescent="0.3">
      <c r="A11" s="3" t="s">
        <v>4</v>
      </c>
      <c r="B11" s="3" t="s">
        <v>102</v>
      </c>
      <c r="C11" s="1" t="s">
        <v>3</v>
      </c>
      <c r="E11" s="30" t="s">
        <v>75</v>
      </c>
      <c r="F11" s="31" t="s">
        <v>94</v>
      </c>
      <c r="G11" s="31" t="s">
        <v>93</v>
      </c>
      <c r="H11" s="31" t="s">
        <v>90</v>
      </c>
      <c r="I11" s="31" t="s">
        <v>95</v>
      </c>
      <c r="J11" s="344" t="s">
        <v>92</v>
      </c>
      <c r="K11" s="345"/>
      <c r="L11" s="345"/>
      <c r="M11" s="345"/>
      <c r="N11" s="345"/>
      <c r="P11" s="21" t="s">
        <v>77</v>
      </c>
      <c r="Q11" s="22">
        <v>0.9</v>
      </c>
      <c r="R11" s="23">
        <v>0.8</v>
      </c>
      <c r="S11" s="23">
        <v>0.7</v>
      </c>
      <c r="T11" s="24">
        <v>0.6</v>
      </c>
      <c r="U11" s="22">
        <v>0.5</v>
      </c>
      <c r="V11" s="23">
        <v>0.4</v>
      </c>
      <c r="W11" s="23">
        <v>0.3</v>
      </c>
      <c r="X11" s="23">
        <v>0.2</v>
      </c>
      <c r="Y11" s="23">
        <v>0.1</v>
      </c>
      <c r="Z11" s="23">
        <v>0.05</v>
      </c>
      <c r="AA11" s="25">
        <v>18537</v>
      </c>
    </row>
    <row r="12" spans="1:27" ht="45" customHeight="1" x14ac:dyDescent="0.25">
      <c r="A12" s="7" t="s">
        <v>49</v>
      </c>
      <c r="B12" s="150" t="s">
        <v>472</v>
      </c>
      <c r="E12" s="26">
        <v>2014</v>
      </c>
      <c r="F12" s="26"/>
      <c r="G12" s="26"/>
      <c r="H12" s="26"/>
      <c r="I12" s="3"/>
      <c r="J12" s="344"/>
      <c r="K12" s="345"/>
      <c r="L12" s="345"/>
      <c r="M12" s="345"/>
      <c r="N12" s="345"/>
      <c r="P12" s="21">
        <v>2011</v>
      </c>
      <c r="Q12" s="21">
        <v>1030</v>
      </c>
      <c r="R12" s="21">
        <v>1035</v>
      </c>
      <c r="S12" s="21">
        <v>1040</v>
      </c>
      <c r="T12" s="21">
        <v>1050</v>
      </c>
      <c r="U12" s="21">
        <v>1070</v>
      </c>
      <c r="V12" s="21">
        <v>1075</v>
      </c>
      <c r="W12" s="21">
        <v>1090</v>
      </c>
      <c r="X12" s="21">
        <v>1095</v>
      </c>
      <c r="Y12" s="21">
        <v>1110</v>
      </c>
      <c r="Z12" s="21">
        <v>1110</v>
      </c>
      <c r="AA12" s="21">
        <v>1.0373829999999999</v>
      </c>
    </row>
    <row r="13" spans="1:27" ht="15" customHeight="1" x14ac:dyDescent="0.25">
      <c r="A13" s="7" t="s">
        <v>50</v>
      </c>
      <c r="B13" s="70" t="s">
        <v>281</v>
      </c>
      <c r="E13" s="26">
        <f>+E12+1</f>
        <v>2015</v>
      </c>
      <c r="F13" s="26"/>
      <c r="G13" s="26"/>
      <c r="H13" s="26"/>
      <c r="I13" s="3"/>
      <c r="J13" s="344" t="s">
        <v>91</v>
      </c>
      <c r="K13" s="345"/>
      <c r="L13" s="345"/>
      <c r="M13" s="345"/>
      <c r="N13" s="345"/>
      <c r="P13" s="21">
        <v>2012</v>
      </c>
      <c r="Q13" s="21">
        <v>1050</v>
      </c>
      <c r="R13" s="21">
        <v>1055</v>
      </c>
      <c r="S13" s="21">
        <v>1060</v>
      </c>
      <c r="T13" s="21">
        <v>1070</v>
      </c>
      <c r="U13" s="21">
        <v>1090</v>
      </c>
      <c r="V13" s="21">
        <v>1095</v>
      </c>
      <c r="W13" s="21">
        <v>1115</v>
      </c>
      <c r="X13" s="21">
        <v>1120</v>
      </c>
      <c r="Y13" s="21">
        <v>1125</v>
      </c>
      <c r="Z13" s="21">
        <v>1135</v>
      </c>
      <c r="AA13" s="21">
        <v>1.0321100000000001</v>
      </c>
    </row>
    <row r="14" spans="1:27" x14ac:dyDescent="0.25">
      <c r="A14" s="7" t="s">
        <v>51</v>
      </c>
      <c r="B14" s="7" t="s">
        <v>409</v>
      </c>
      <c r="C14" s="1" t="s">
        <v>52</v>
      </c>
      <c r="E14" s="26">
        <f t="shared" ref="E14:E31" si="0">+E13+1</f>
        <v>2016</v>
      </c>
      <c r="F14" s="26"/>
      <c r="G14" s="26"/>
      <c r="H14" s="26"/>
      <c r="I14" s="3"/>
      <c r="J14" s="344"/>
      <c r="K14" s="345"/>
      <c r="L14" s="345"/>
      <c r="M14" s="345"/>
      <c r="N14" s="345"/>
      <c r="P14" s="21">
        <v>2013</v>
      </c>
      <c r="Q14" s="21">
        <v>1065</v>
      </c>
      <c r="R14" s="21">
        <v>1070</v>
      </c>
      <c r="S14" s="21">
        <v>1075</v>
      </c>
      <c r="T14" s="21">
        <v>1085</v>
      </c>
      <c r="U14" s="21">
        <v>1105</v>
      </c>
      <c r="V14" s="21">
        <v>1110</v>
      </c>
      <c r="W14" s="21">
        <v>1130</v>
      </c>
      <c r="X14" s="21">
        <v>1135</v>
      </c>
      <c r="Y14" s="21">
        <v>1150</v>
      </c>
      <c r="Z14" s="21">
        <v>1150</v>
      </c>
      <c r="AA14" s="21">
        <v>1.040724</v>
      </c>
    </row>
    <row r="15" spans="1:27" ht="21.75" customHeight="1" x14ac:dyDescent="0.25">
      <c r="A15" s="7" t="s">
        <v>53</v>
      </c>
      <c r="B15" s="18" t="s">
        <v>278</v>
      </c>
      <c r="E15" s="26">
        <f t="shared" si="0"/>
        <v>2017</v>
      </c>
      <c r="F15" s="26"/>
      <c r="G15" s="26"/>
      <c r="H15" s="26"/>
      <c r="I15" s="3"/>
      <c r="J15" s="344"/>
      <c r="K15" s="345"/>
      <c r="L15" s="345"/>
      <c r="M15" s="345"/>
      <c r="N15" s="345"/>
      <c r="P15" s="21">
        <v>2014</v>
      </c>
      <c r="Q15" s="21">
        <v>1080</v>
      </c>
      <c r="R15" s="21">
        <v>1085</v>
      </c>
      <c r="S15" s="21">
        <v>1090</v>
      </c>
      <c r="T15" s="21">
        <v>1100</v>
      </c>
      <c r="U15" s="21">
        <v>1120</v>
      </c>
      <c r="V15" s="21">
        <v>1125</v>
      </c>
      <c r="W15" s="21">
        <v>1145</v>
      </c>
      <c r="X15" s="21">
        <v>1150</v>
      </c>
      <c r="Y15" s="21">
        <v>1165</v>
      </c>
      <c r="Z15" s="21">
        <v>1170</v>
      </c>
      <c r="AA15" s="21">
        <v>1.040179</v>
      </c>
    </row>
    <row r="16" spans="1:27" x14ac:dyDescent="0.25">
      <c r="A16" s="14" t="s">
        <v>41</v>
      </c>
      <c r="B16" s="410" t="s">
        <v>282</v>
      </c>
      <c r="E16" s="26">
        <f t="shared" si="0"/>
        <v>2018</v>
      </c>
      <c r="F16" s="26"/>
      <c r="G16" s="26"/>
      <c r="H16" s="26"/>
      <c r="I16" s="3"/>
      <c r="J16" s="344"/>
      <c r="K16" s="345"/>
      <c r="L16" s="345"/>
      <c r="M16" s="345"/>
      <c r="N16" s="345"/>
      <c r="P16" s="21">
        <v>2015</v>
      </c>
      <c r="Q16" s="21">
        <v>1095</v>
      </c>
      <c r="R16" s="21">
        <v>1100</v>
      </c>
      <c r="S16" s="21">
        <v>1105</v>
      </c>
      <c r="T16" s="21">
        <v>1115</v>
      </c>
      <c r="U16" s="21">
        <v>1135</v>
      </c>
      <c r="V16" s="21">
        <v>1140</v>
      </c>
      <c r="W16" s="21">
        <v>1160</v>
      </c>
      <c r="X16" s="21">
        <v>1165</v>
      </c>
      <c r="Y16" s="21">
        <v>1170</v>
      </c>
      <c r="Z16" s="21">
        <v>1180</v>
      </c>
      <c r="AA16" s="21">
        <v>1.030837</v>
      </c>
    </row>
    <row r="17" spans="1:27" ht="72" customHeight="1" x14ac:dyDescent="0.25">
      <c r="A17" s="14" t="s">
        <v>7</v>
      </c>
      <c r="B17" s="411"/>
      <c r="C17" s="1" t="s">
        <v>21</v>
      </c>
      <c r="E17" s="26">
        <f t="shared" si="0"/>
        <v>2019</v>
      </c>
      <c r="F17" s="26"/>
      <c r="G17" s="26"/>
      <c r="H17" s="26"/>
      <c r="I17" s="3"/>
      <c r="J17" s="356"/>
      <c r="K17" s="357"/>
      <c r="L17" s="357"/>
      <c r="M17" s="357"/>
      <c r="N17" s="357"/>
      <c r="P17" s="21">
        <v>2016</v>
      </c>
      <c r="Q17" s="21">
        <v>1105</v>
      </c>
      <c r="R17" s="21">
        <v>1110</v>
      </c>
      <c r="S17" s="21">
        <v>1115</v>
      </c>
      <c r="T17" s="21">
        <v>1125</v>
      </c>
      <c r="U17" s="21">
        <v>1145</v>
      </c>
      <c r="V17" s="21">
        <v>1150</v>
      </c>
      <c r="W17" s="21">
        <v>1170</v>
      </c>
      <c r="X17" s="21">
        <v>1175</v>
      </c>
      <c r="Y17" s="21">
        <v>1190</v>
      </c>
      <c r="Z17" s="21">
        <v>1195</v>
      </c>
      <c r="AA17" s="21">
        <v>1.039301</v>
      </c>
    </row>
    <row r="18" spans="1:27" x14ac:dyDescent="0.25">
      <c r="A18" s="14" t="s">
        <v>72</v>
      </c>
      <c r="B18" s="14"/>
      <c r="C18" s="1" t="s">
        <v>73</v>
      </c>
      <c r="E18" s="26">
        <f t="shared" si="0"/>
        <v>2020</v>
      </c>
      <c r="F18" s="26"/>
      <c r="G18" s="26"/>
      <c r="H18" s="26"/>
      <c r="I18" s="3"/>
      <c r="J18" s="27" t="s">
        <v>89</v>
      </c>
      <c r="K18" s="28"/>
      <c r="L18" s="28"/>
      <c r="M18" s="28"/>
      <c r="N18" s="29"/>
      <c r="P18" s="21">
        <v>2017</v>
      </c>
      <c r="Q18" s="21">
        <v>1115</v>
      </c>
      <c r="R18" s="21">
        <v>1120</v>
      </c>
      <c r="S18" s="21">
        <v>1125</v>
      </c>
      <c r="T18" s="21">
        <v>1135</v>
      </c>
      <c r="U18" s="21">
        <v>1155</v>
      </c>
      <c r="V18" s="21">
        <v>1160</v>
      </c>
      <c r="W18" s="21">
        <v>1180</v>
      </c>
      <c r="X18" s="21">
        <v>1185</v>
      </c>
      <c r="Y18" s="21">
        <v>1195</v>
      </c>
      <c r="Z18" s="21">
        <v>1205</v>
      </c>
      <c r="AA18" s="21">
        <v>1.034632</v>
      </c>
    </row>
    <row r="19" spans="1:27" x14ac:dyDescent="0.25">
      <c r="A19" s="14" t="s">
        <v>68</v>
      </c>
      <c r="B19" s="15" t="s">
        <v>134</v>
      </c>
      <c r="C19" s="1" t="s">
        <v>69</v>
      </c>
      <c r="E19" s="26">
        <f t="shared" si="0"/>
        <v>2021</v>
      </c>
      <c r="F19" s="26"/>
      <c r="G19" s="26"/>
      <c r="H19" s="26"/>
      <c r="I19" s="3"/>
      <c r="J19" s="335"/>
      <c r="K19" s="336"/>
      <c r="L19" s="336"/>
      <c r="M19" s="336"/>
      <c r="N19" s="337"/>
      <c r="P19" s="21">
        <v>2018</v>
      </c>
      <c r="Q19" s="21">
        <v>1125</v>
      </c>
      <c r="R19" s="21">
        <v>1130</v>
      </c>
      <c r="S19" s="21">
        <v>1140</v>
      </c>
      <c r="T19" s="21">
        <v>1150</v>
      </c>
      <c r="U19" s="21">
        <v>1170</v>
      </c>
      <c r="V19" s="21">
        <v>1175</v>
      </c>
      <c r="W19" s="21">
        <v>1195</v>
      </c>
      <c r="X19" s="21">
        <v>1200</v>
      </c>
      <c r="Y19" s="21">
        <v>1215</v>
      </c>
      <c r="Z19" s="21">
        <v>1215</v>
      </c>
      <c r="AA19" s="21">
        <v>1.038462</v>
      </c>
    </row>
    <row r="20" spans="1:27" ht="21" customHeight="1" x14ac:dyDescent="0.25">
      <c r="A20" s="14" t="s">
        <v>67</v>
      </c>
      <c r="B20" s="14" t="s">
        <v>134</v>
      </c>
      <c r="C20" s="1" t="s">
        <v>70</v>
      </c>
      <c r="E20" s="26">
        <f t="shared" si="0"/>
        <v>2022</v>
      </c>
      <c r="F20" s="26"/>
      <c r="G20" s="26"/>
      <c r="H20" s="26"/>
      <c r="I20" s="3"/>
      <c r="J20" s="338"/>
      <c r="K20" s="339"/>
      <c r="L20" s="339"/>
      <c r="M20" s="339"/>
      <c r="N20" s="340"/>
      <c r="P20" s="21">
        <v>2019</v>
      </c>
      <c r="Q20" s="21">
        <v>1135</v>
      </c>
      <c r="R20" s="21">
        <v>1140</v>
      </c>
      <c r="S20" s="21">
        <v>1150</v>
      </c>
      <c r="T20" s="21">
        <v>1160</v>
      </c>
      <c r="U20" s="21">
        <v>1180</v>
      </c>
      <c r="V20" s="21">
        <v>1185</v>
      </c>
      <c r="W20" s="21">
        <v>1205</v>
      </c>
      <c r="X20" s="21">
        <v>1210</v>
      </c>
      <c r="Y20" s="21">
        <v>1225</v>
      </c>
      <c r="Z20" s="21">
        <v>1230</v>
      </c>
      <c r="AA20" s="21">
        <v>1.0381359999999999</v>
      </c>
    </row>
    <row r="21" spans="1:27" ht="48.75" customHeight="1" x14ac:dyDescent="0.25">
      <c r="A21" s="3" t="s">
        <v>98</v>
      </c>
      <c r="B21" s="65" t="s">
        <v>379</v>
      </c>
      <c r="C21" s="1" t="s">
        <v>58</v>
      </c>
      <c r="E21" s="26">
        <f t="shared" si="0"/>
        <v>2023</v>
      </c>
      <c r="F21" s="26"/>
      <c r="G21" s="26"/>
      <c r="H21" s="26"/>
      <c r="I21" s="3"/>
      <c r="J21" s="341"/>
      <c r="K21" s="342"/>
      <c r="L21" s="342"/>
      <c r="M21" s="342"/>
      <c r="N21" s="343"/>
      <c r="P21" s="21">
        <v>2020</v>
      </c>
      <c r="Q21" s="21">
        <v>1145</v>
      </c>
      <c r="R21" s="21">
        <v>1150</v>
      </c>
      <c r="S21" s="21">
        <v>1155</v>
      </c>
      <c r="T21" s="21">
        <v>1170</v>
      </c>
      <c r="U21" s="21">
        <v>1190</v>
      </c>
      <c r="V21" s="21">
        <v>1195</v>
      </c>
      <c r="W21" s="21">
        <v>1215</v>
      </c>
      <c r="X21" s="21">
        <v>1225</v>
      </c>
      <c r="Y21" s="21">
        <v>1235</v>
      </c>
      <c r="Z21" s="21">
        <v>1240</v>
      </c>
      <c r="AA21" s="21">
        <v>1.0378149999999999</v>
      </c>
    </row>
    <row r="22" spans="1:27" x14ac:dyDescent="0.25">
      <c r="A22" s="3" t="s">
        <v>5</v>
      </c>
      <c r="B22" s="16">
        <v>2500000</v>
      </c>
      <c r="C22" s="1" t="s">
        <v>6</v>
      </c>
      <c r="E22" s="26">
        <f t="shared" si="0"/>
        <v>2024</v>
      </c>
      <c r="F22" s="26"/>
      <c r="G22" s="26"/>
      <c r="H22" s="26"/>
      <c r="I22" s="3"/>
      <c r="P22" s="21" t="s">
        <v>78</v>
      </c>
      <c r="Q22" s="21"/>
      <c r="R22" s="21"/>
      <c r="S22" s="21"/>
      <c r="T22" s="21"/>
      <c r="U22" s="21"/>
      <c r="V22" s="21"/>
      <c r="W22" s="21"/>
      <c r="X22" s="21"/>
      <c r="Y22" s="21"/>
      <c r="Z22" s="21"/>
      <c r="AA22" s="21"/>
    </row>
    <row r="23" spans="1:27" ht="34.5" customHeight="1" x14ac:dyDescent="0.25">
      <c r="A23" s="3" t="s">
        <v>55</v>
      </c>
      <c r="B23" s="17" t="s">
        <v>191</v>
      </c>
      <c r="C23" s="1" t="s">
        <v>54</v>
      </c>
      <c r="E23" s="26">
        <f t="shared" si="0"/>
        <v>2025</v>
      </c>
      <c r="F23" s="26"/>
      <c r="G23" s="26"/>
      <c r="H23" s="26"/>
      <c r="I23" s="3"/>
      <c r="J23" s="344" t="s">
        <v>96</v>
      </c>
      <c r="K23" s="345"/>
      <c r="L23" s="345"/>
      <c r="M23" s="345"/>
      <c r="N23" s="345"/>
      <c r="P23" s="21" t="s">
        <v>79</v>
      </c>
      <c r="Q23" s="21">
        <v>1030</v>
      </c>
      <c r="R23" s="21">
        <v>1035</v>
      </c>
      <c r="S23" s="21">
        <v>1035</v>
      </c>
      <c r="T23" s="21">
        <v>1035</v>
      </c>
      <c r="U23" s="21">
        <v>1045</v>
      </c>
      <c r="V23" s="21">
        <v>1050</v>
      </c>
      <c r="W23" s="21">
        <v>1055</v>
      </c>
      <c r="X23" s="21">
        <v>1055</v>
      </c>
      <c r="Y23" s="21">
        <v>1060</v>
      </c>
      <c r="Z23" s="21">
        <v>1070</v>
      </c>
      <c r="AA23" s="21">
        <v>1.014354</v>
      </c>
    </row>
    <row r="24" spans="1:27" ht="30.75" customHeight="1" x14ac:dyDescent="0.25">
      <c r="A24" s="3" t="s">
        <v>56</v>
      </c>
      <c r="B24" s="148">
        <f>B22/6</f>
        <v>416666.66666666669</v>
      </c>
      <c r="C24" s="1" t="s">
        <v>57</v>
      </c>
      <c r="E24" s="26">
        <f t="shared" si="0"/>
        <v>2026</v>
      </c>
      <c r="F24" s="26"/>
      <c r="G24" s="26"/>
      <c r="H24" s="26"/>
      <c r="I24" s="3"/>
      <c r="J24" s="344"/>
      <c r="K24" s="345"/>
      <c r="L24" s="345"/>
      <c r="M24" s="345"/>
      <c r="N24" s="345"/>
      <c r="P24" s="21" t="s">
        <v>80</v>
      </c>
      <c r="Q24" s="21">
        <v>1040</v>
      </c>
      <c r="R24" s="21">
        <v>1045</v>
      </c>
      <c r="S24" s="21">
        <v>1045</v>
      </c>
      <c r="T24" s="21">
        <v>1045</v>
      </c>
      <c r="U24" s="21">
        <v>1055</v>
      </c>
      <c r="V24" s="21">
        <v>1060</v>
      </c>
      <c r="W24" s="21">
        <v>1065</v>
      </c>
      <c r="X24" s="21">
        <v>1065</v>
      </c>
      <c r="Y24" s="21">
        <v>1070</v>
      </c>
      <c r="Z24" s="21">
        <v>1080</v>
      </c>
      <c r="AA24" s="21">
        <v>1.0142180000000001</v>
      </c>
    </row>
    <row r="25" spans="1:27" x14ac:dyDescent="0.25">
      <c r="A25" s="12"/>
      <c r="B25" s="13"/>
      <c r="E25" s="26">
        <f t="shared" si="0"/>
        <v>2027</v>
      </c>
      <c r="F25" s="26"/>
      <c r="G25" s="26"/>
      <c r="H25" s="26"/>
      <c r="I25" s="3"/>
      <c r="J25" s="344"/>
      <c r="K25" s="345"/>
      <c r="L25" s="345"/>
      <c r="M25" s="345"/>
      <c r="N25" s="345"/>
      <c r="P25" s="21" t="s">
        <v>81</v>
      </c>
      <c r="Q25" s="21">
        <v>1050</v>
      </c>
      <c r="R25" s="21">
        <v>1055</v>
      </c>
      <c r="S25" s="21">
        <v>1055</v>
      </c>
      <c r="T25" s="21">
        <v>1055</v>
      </c>
      <c r="U25" s="21">
        <v>1065</v>
      </c>
      <c r="V25" s="21">
        <v>1070</v>
      </c>
      <c r="W25" s="21">
        <v>1075</v>
      </c>
      <c r="X25" s="21">
        <v>1075</v>
      </c>
      <c r="Y25" s="21">
        <v>1080</v>
      </c>
      <c r="Z25" s="21">
        <v>1095</v>
      </c>
      <c r="AA25" s="21">
        <v>1.0140849999999999</v>
      </c>
    </row>
    <row r="26" spans="1:27" x14ac:dyDescent="0.25">
      <c r="A26" s="372" t="s">
        <v>71</v>
      </c>
      <c r="B26" s="372"/>
      <c r="E26" s="26">
        <f t="shared" si="0"/>
        <v>2028</v>
      </c>
      <c r="F26" s="26"/>
      <c r="G26" s="26"/>
      <c r="H26" s="26"/>
      <c r="I26" s="3"/>
      <c r="P26" s="21" t="s">
        <v>82</v>
      </c>
      <c r="Q26" s="21">
        <v>1055</v>
      </c>
      <c r="R26" s="21">
        <v>1060</v>
      </c>
      <c r="S26" s="21">
        <v>1060</v>
      </c>
      <c r="T26" s="21">
        <v>1060</v>
      </c>
      <c r="U26" s="21">
        <v>1070</v>
      </c>
      <c r="V26" s="21">
        <v>1075</v>
      </c>
      <c r="W26" s="21">
        <v>1080</v>
      </c>
      <c r="X26" s="21">
        <v>1080</v>
      </c>
      <c r="Y26" s="21">
        <v>1085</v>
      </c>
      <c r="Z26" s="21">
        <v>1095</v>
      </c>
      <c r="AA26" s="21">
        <v>1.014019</v>
      </c>
    </row>
    <row r="27" spans="1:27" x14ac:dyDescent="0.25">
      <c r="A27" s="3" t="s">
        <v>28</v>
      </c>
      <c r="B27" s="3"/>
      <c r="E27" s="26">
        <f t="shared" si="0"/>
        <v>2029</v>
      </c>
      <c r="F27" s="26"/>
      <c r="G27" s="26"/>
      <c r="H27" s="26"/>
      <c r="I27" s="3"/>
      <c r="P27" s="21" t="s">
        <v>83</v>
      </c>
      <c r="Q27" s="21">
        <v>1060</v>
      </c>
      <c r="R27" s="21">
        <v>1065</v>
      </c>
      <c r="S27" s="21">
        <v>1065</v>
      </c>
      <c r="T27" s="21">
        <v>1065</v>
      </c>
      <c r="U27" s="21">
        <v>1075</v>
      </c>
      <c r="V27" s="21">
        <v>1080</v>
      </c>
      <c r="W27" s="21">
        <v>1085</v>
      </c>
      <c r="X27" s="21">
        <v>1085</v>
      </c>
      <c r="Y27" s="21">
        <v>1090</v>
      </c>
      <c r="Z27" s="21">
        <v>1110</v>
      </c>
      <c r="AA27" s="21">
        <v>1.0139530000000001</v>
      </c>
    </row>
    <row r="28" spans="1:27" x14ac:dyDescent="0.25">
      <c r="A28" s="3" t="s">
        <v>29</v>
      </c>
      <c r="B28" s="3"/>
      <c r="E28" s="26">
        <f t="shared" si="0"/>
        <v>2030</v>
      </c>
      <c r="F28" s="26"/>
      <c r="G28" s="26"/>
      <c r="H28" s="26"/>
      <c r="I28" s="3"/>
      <c r="P28" s="21" t="s">
        <v>84</v>
      </c>
      <c r="Q28" s="21">
        <v>1065</v>
      </c>
      <c r="R28" s="21">
        <v>1070</v>
      </c>
      <c r="S28" s="21">
        <v>1070</v>
      </c>
      <c r="T28" s="21">
        <v>1070</v>
      </c>
      <c r="U28" s="21">
        <v>1080</v>
      </c>
      <c r="V28" s="21">
        <v>1085</v>
      </c>
      <c r="W28" s="21">
        <v>1090</v>
      </c>
      <c r="X28" s="21">
        <v>1090</v>
      </c>
      <c r="Y28" s="21">
        <v>1100</v>
      </c>
      <c r="Z28" s="21">
        <v>1110</v>
      </c>
      <c r="AA28" s="21">
        <v>1.018519</v>
      </c>
    </row>
    <row r="29" spans="1:27" ht="39.75" customHeight="1" x14ac:dyDescent="0.25">
      <c r="A29" s="3" t="s">
        <v>30</v>
      </c>
      <c r="B29" s="17"/>
      <c r="C29" s="1" t="s">
        <v>43</v>
      </c>
      <c r="E29" s="26">
        <f t="shared" si="0"/>
        <v>2031</v>
      </c>
      <c r="F29" s="26"/>
      <c r="G29" s="26"/>
      <c r="H29" s="26"/>
      <c r="I29" s="3"/>
      <c r="P29" s="21" t="s">
        <v>85</v>
      </c>
      <c r="Q29" s="21">
        <v>1075</v>
      </c>
      <c r="R29" s="21">
        <v>1080</v>
      </c>
      <c r="S29" s="21">
        <v>1080</v>
      </c>
      <c r="T29" s="21">
        <v>1080</v>
      </c>
      <c r="U29" s="21">
        <v>1090</v>
      </c>
      <c r="V29" s="21">
        <v>1095</v>
      </c>
      <c r="W29" s="21">
        <v>1100</v>
      </c>
      <c r="X29" s="21">
        <v>1100</v>
      </c>
      <c r="Y29" s="21">
        <v>1105</v>
      </c>
      <c r="Z29" s="21">
        <v>1120</v>
      </c>
      <c r="AA29" s="21">
        <v>1.0137609999999999</v>
      </c>
    </row>
    <row r="30" spans="1:27" x14ac:dyDescent="0.25">
      <c r="A30" s="3" t="s">
        <v>44</v>
      </c>
      <c r="B30" s="3"/>
      <c r="E30" s="26">
        <f t="shared" si="0"/>
        <v>2032</v>
      </c>
      <c r="F30" s="26"/>
      <c r="G30" s="26"/>
      <c r="H30" s="26"/>
      <c r="I30" s="3"/>
      <c r="P30" s="21" t="s">
        <v>86</v>
      </c>
      <c r="Q30" s="21">
        <v>1080</v>
      </c>
      <c r="R30" s="21">
        <v>1085</v>
      </c>
      <c r="S30" s="21">
        <v>1085</v>
      </c>
      <c r="T30" s="21">
        <v>1085</v>
      </c>
      <c r="U30" s="21">
        <v>1095</v>
      </c>
      <c r="V30" s="21">
        <v>1100</v>
      </c>
      <c r="W30" s="21">
        <v>1105</v>
      </c>
      <c r="X30" s="21">
        <v>1105</v>
      </c>
      <c r="Y30" s="21">
        <v>1110</v>
      </c>
      <c r="Z30" s="21">
        <v>1120</v>
      </c>
      <c r="AA30" s="21">
        <v>1.0136989999999999</v>
      </c>
    </row>
    <row r="31" spans="1:27" x14ac:dyDescent="0.25">
      <c r="A31" s="3" t="s">
        <v>47</v>
      </c>
      <c r="B31" s="3"/>
      <c r="E31" s="26">
        <f t="shared" si="0"/>
        <v>2033</v>
      </c>
      <c r="F31" s="26"/>
      <c r="G31" s="26"/>
      <c r="H31" s="26"/>
      <c r="I31" s="3"/>
      <c r="P31" s="21" t="s">
        <v>87</v>
      </c>
      <c r="Q31" s="21">
        <v>1085</v>
      </c>
      <c r="R31" s="21">
        <v>1090</v>
      </c>
      <c r="S31" s="21">
        <v>1090</v>
      </c>
      <c r="T31" s="21">
        <v>1090</v>
      </c>
      <c r="U31" s="21">
        <v>1100</v>
      </c>
      <c r="V31" s="21">
        <v>1105</v>
      </c>
      <c r="W31" s="21">
        <v>1110</v>
      </c>
      <c r="X31" s="21">
        <v>1110</v>
      </c>
      <c r="Y31" s="21">
        <v>1115</v>
      </c>
      <c r="Z31" s="21">
        <v>1125</v>
      </c>
      <c r="AA31" s="21">
        <v>1.013636</v>
      </c>
    </row>
    <row r="32" spans="1:27" x14ac:dyDescent="0.25">
      <c r="A32" s="3" t="s">
        <v>45</v>
      </c>
      <c r="B32" s="3"/>
      <c r="P32" s="21" t="s">
        <v>88</v>
      </c>
      <c r="Q32" s="21">
        <v>1090</v>
      </c>
      <c r="R32" s="21">
        <v>1095</v>
      </c>
      <c r="S32" s="21">
        <v>1095</v>
      </c>
      <c r="T32" s="21">
        <v>1095</v>
      </c>
      <c r="U32" s="21">
        <v>1105</v>
      </c>
      <c r="V32" s="21">
        <v>1110</v>
      </c>
      <c r="W32" s="21">
        <v>1115</v>
      </c>
      <c r="X32" s="21">
        <v>1115</v>
      </c>
      <c r="Y32" s="21">
        <v>1120</v>
      </c>
      <c r="Z32" s="21">
        <v>1130</v>
      </c>
      <c r="AA32" s="21">
        <v>1.0135749999999999</v>
      </c>
    </row>
    <row r="33" spans="1:2" x14ac:dyDescent="0.25">
      <c r="A33" s="3" t="s">
        <v>46</v>
      </c>
      <c r="B33" s="3"/>
    </row>
    <row r="34" spans="1:2" x14ac:dyDescent="0.25">
      <c r="A34" s="84"/>
    </row>
  </sheetData>
  <mergeCells count="10">
    <mergeCell ref="C1:F1"/>
    <mergeCell ref="J19:N21"/>
    <mergeCell ref="J23:N25"/>
    <mergeCell ref="A26:B26"/>
    <mergeCell ref="A6:B6"/>
    <mergeCell ref="E9:I9"/>
    <mergeCell ref="E10:H10"/>
    <mergeCell ref="J11:N12"/>
    <mergeCell ref="J13:N17"/>
    <mergeCell ref="B16:B17"/>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tint="0.59999389629810485"/>
    <pageSetUpPr fitToPage="1"/>
  </sheetPr>
  <dimension ref="A1:AD58"/>
  <sheetViews>
    <sheetView zoomScale="80" zoomScaleNormal="80" workbookViewId="0"/>
  </sheetViews>
  <sheetFormatPr defaultRowHeight="15" x14ac:dyDescent="0.25"/>
  <cols>
    <col min="1" max="1" width="63.7109375" customWidth="1"/>
    <col min="2" max="2" width="86.7109375" customWidth="1"/>
    <col min="3" max="3" width="44.42578125" style="1" customWidth="1"/>
    <col min="5" max="5" width="9.140625" style="20"/>
    <col min="6" max="6" width="14.42578125" style="20" customWidth="1"/>
    <col min="7" max="8" width="15.42578125" style="20" customWidth="1"/>
    <col min="9" max="11" width="18" style="20" customWidth="1"/>
    <col min="12" max="12" width="22.85546875" customWidth="1"/>
    <col min="19" max="19" width="10.7109375" style="121" customWidth="1"/>
  </cols>
  <sheetData>
    <row r="1" spans="1:30" ht="41.25" customHeight="1" x14ac:dyDescent="0.3">
      <c r="A1" s="114" t="s">
        <v>190</v>
      </c>
      <c r="B1" s="45"/>
      <c r="D1" s="406" t="s">
        <v>686</v>
      </c>
      <c r="E1" s="407"/>
      <c r="F1" s="407"/>
      <c r="G1" s="407"/>
      <c r="H1" s="407"/>
      <c r="I1" s="407"/>
      <c r="J1" s="408"/>
    </row>
    <row r="2" spans="1:30" ht="23.25" customHeight="1" x14ac:dyDescent="0.25">
      <c r="A2" s="118" t="s">
        <v>726</v>
      </c>
      <c r="L2" s="20"/>
      <c r="M2" s="20"/>
      <c r="N2" s="20"/>
      <c r="O2" s="20"/>
      <c r="P2" s="20"/>
      <c r="Q2" s="20"/>
      <c r="R2" s="20"/>
    </row>
    <row r="3" spans="1:30" ht="15" customHeight="1" x14ac:dyDescent="0.25">
      <c r="A3" s="2" t="s">
        <v>8</v>
      </c>
      <c r="B3" s="2"/>
    </row>
    <row r="4" spans="1:30" ht="15" customHeight="1" x14ac:dyDescent="0.25">
      <c r="A4" s="9" t="s">
        <v>9</v>
      </c>
      <c r="B4" s="9"/>
    </row>
    <row r="5" spans="1:30" ht="15.75" x14ac:dyDescent="0.25">
      <c r="C5" s="1" t="s">
        <v>31</v>
      </c>
      <c r="D5" s="55"/>
      <c r="E5" s="54"/>
      <c r="F5" s="54"/>
      <c r="G5" s="54"/>
    </row>
    <row r="6" spans="1:30" x14ac:dyDescent="0.25">
      <c r="A6" s="350" t="s">
        <v>10</v>
      </c>
      <c r="B6" s="351"/>
      <c r="K6" s="20" t="s">
        <v>134</v>
      </c>
    </row>
    <row r="7" spans="1:30" ht="21" customHeight="1" x14ac:dyDescent="0.25">
      <c r="A7" s="3" t="s">
        <v>0</v>
      </c>
      <c r="B7" s="3" t="s">
        <v>190</v>
      </c>
      <c r="F7" s="43" t="s">
        <v>150</v>
      </c>
      <c r="G7" s="43">
        <v>1.01</v>
      </c>
      <c r="H7" s="43"/>
      <c r="I7" s="20" t="s">
        <v>169</v>
      </c>
      <c r="J7" s="53">
        <f>0.8+ 2</f>
        <v>2.8</v>
      </c>
      <c r="K7" s="20" t="s">
        <v>168</v>
      </c>
      <c r="L7" s="52" t="s">
        <v>189</v>
      </c>
    </row>
    <row r="8" spans="1:30" ht="39" customHeight="1" x14ac:dyDescent="0.25">
      <c r="A8" s="3" t="s">
        <v>2</v>
      </c>
      <c r="B8" s="85" t="s">
        <v>188</v>
      </c>
    </row>
    <row r="9" spans="1:30" ht="60" customHeight="1" x14ac:dyDescent="0.25">
      <c r="A9" s="63" t="s">
        <v>257</v>
      </c>
      <c r="B9" s="85" t="s">
        <v>258</v>
      </c>
      <c r="E9" s="352" t="s">
        <v>100</v>
      </c>
      <c r="F9" s="352"/>
      <c r="G9" s="352"/>
      <c r="H9" s="352"/>
      <c r="I9" s="352"/>
      <c r="J9" s="352"/>
      <c r="K9" s="352"/>
      <c r="L9" s="352"/>
    </row>
    <row r="10" spans="1:30" ht="30.75" thickBot="1" x14ac:dyDescent="0.3">
      <c r="A10" s="3" t="s">
        <v>1</v>
      </c>
      <c r="B10" s="3" t="s">
        <v>130</v>
      </c>
      <c r="C10" s="1" t="s">
        <v>48</v>
      </c>
      <c r="E10" s="353" t="s">
        <v>53</v>
      </c>
      <c r="F10" s="354"/>
      <c r="G10" s="354"/>
      <c r="H10" s="354"/>
      <c r="I10" s="355"/>
      <c r="J10" s="99" t="s">
        <v>187</v>
      </c>
      <c r="K10" s="72"/>
      <c r="L10" s="86" t="str">
        <f>B15</f>
        <v>49.7 MW (Summer Rating 477 ACSR)</v>
      </c>
      <c r="M10" t="s">
        <v>74</v>
      </c>
      <c r="S10" s="36" t="s">
        <v>76</v>
      </c>
      <c r="T10" s="36"/>
      <c r="U10" s="36"/>
      <c r="V10" s="36"/>
      <c r="W10" s="36"/>
      <c r="X10" s="36"/>
      <c r="Y10" s="36"/>
      <c r="Z10" s="36"/>
      <c r="AA10" s="36"/>
      <c r="AB10" s="36"/>
      <c r="AC10" s="36"/>
      <c r="AD10" s="36"/>
    </row>
    <row r="11" spans="1:30" ht="63" customHeight="1" thickBot="1" x14ac:dyDescent="0.3">
      <c r="A11" s="64" t="s">
        <v>4</v>
      </c>
      <c r="B11" s="64" t="s">
        <v>102</v>
      </c>
      <c r="C11" s="1" t="s">
        <v>3</v>
      </c>
      <c r="E11" s="30" t="s">
        <v>75</v>
      </c>
      <c r="F11" s="31" t="s">
        <v>147</v>
      </c>
      <c r="G11" s="31" t="s">
        <v>146</v>
      </c>
      <c r="H11" s="31" t="s">
        <v>186</v>
      </c>
      <c r="I11" s="100" t="s">
        <v>90</v>
      </c>
      <c r="J11" s="93" t="s">
        <v>185</v>
      </c>
      <c r="K11" s="31" t="s">
        <v>144</v>
      </c>
      <c r="L11" s="31" t="s">
        <v>184</v>
      </c>
      <c r="M11" s="344" t="s">
        <v>92</v>
      </c>
      <c r="N11" s="345"/>
      <c r="O11" s="345"/>
      <c r="P11" s="345"/>
      <c r="Q11" s="345"/>
      <c r="S11" s="36" t="s">
        <v>77</v>
      </c>
      <c r="T11" s="41">
        <v>0.9</v>
      </c>
      <c r="U11" s="39">
        <v>0.8</v>
      </c>
      <c r="V11" s="39">
        <v>0.7</v>
      </c>
      <c r="W11" s="40">
        <v>0.6</v>
      </c>
      <c r="X11" s="41">
        <v>0.5</v>
      </c>
      <c r="Y11" s="39">
        <v>0.4</v>
      </c>
      <c r="Z11" s="39">
        <v>0.3</v>
      </c>
      <c r="AA11" s="39">
        <v>0.2</v>
      </c>
      <c r="AB11" s="39">
        <v>0.1</v>
      </c>
      <c r="AC11" s="39">
        <v>0.05</v>
      </c>
      <c r="AD11" s="38">
        <v>18537</v>
      </c>
    </row>
    <row r="12" spans="1:30" ht="57.75" customHeight="1" x14ac:dyDescent="0.25">
      <c r="A12" s="14" t="s">
        <v>49</v>
      </c>
      <c r="B12" s="98" t="s">
        <v>764</v>
      </c>
      <c r="E12" s="26">
        <v>2013</v>
      </c>
      <c r="F12" s="94" t="s">
        <v>137</v>
      </c>
      <c r="G12" s="94">
        <f>44.95*$G$7+((0.8+0.295)*0.9)</f>
        <v>46.385000000000005</v>
      </c>
      <c r="H12" s="94">
        <f>+G12-(J7*0.5)</f>
        <v>44.985000000000007</v>
      </c>
      <c r="I12" s="101">
        <f>+G12+(1)</f>
        <v>47.385000000000005</v>
      </c>
      <c r="J12" s="95">
        <f>+I12-(J7*0.5)</f>
        <v>45.985000000000007</v>
      </c>
      <c r="K12" s="102" t="s">
        <v>134</v>
      </c>
      <c r="L12" s="102">
        <f t="shared" ref="L12:L23" si="0">+J12-49.7</f>
        <v>-3.7149999999999963</v>
      </c>
      <c r="M12" s="344"/>
      <c r="N12" s="345"/>
      <c r="O12" s="345"/>
      <c r="P12" s="345"/>
      <c r="Q12" s="345"/>
      <c r="S12" s="36">
        <v>2011</v>
      </c>
      <c r="T12" s="36">
        <v>1030</v>
      </c>
      <c r="U12" s="36">
        <v>1035</v>
      </c>
      <c r="V12" s="36">
        <v>1040</v>
      </c>
      <c r="W12" s="36">
        <v>1050</v>
      </c>
      <c r="X12" s="36">
        <v>1070</v>
      </c>
      <c r="Y12" s="36">
        <v>1075</v>
      </c>
      <c r="Z12" s="36">
        <v>1090</v>
      </c>
      <c r="AA12" s="36">
        <v>1095</v>
      </c>
      <c r="AB12" s="36">
        <v>1110</v>
      </c>
      <c r="AC12" s="36">
        <v>1110</v>
      </c>
      <c r="AD12" s="36">
        <v>1.0373829999999999</v>
      </c>
    </row>
    <row r="13" spans="1:30" ht="15" customHeight="1" x14ac:dyDescent="0.25">
      <c r="A13" s="14" t="s">
        <v>50</v>
      </c>
      <c r="B13" s="14" t="s">
        <v>404</v>
      </c>
      <c r="E13" s="26">
        <f t="shared" ref="E13:E31" si="1">+E12+1</f>
        <v>2014</v>
      </c>
      <c r="F13" s="94" t="s">
        <v>137</v>
      </c>
      <c r="G13" s="94">
        <f t="shared" ref="G13:G22" si="2">+G12*$G$7</f>
        <v>46.848850000000006</v>
      </c>
      <c r="H13" s="94">
        <f t="shared" ref="H13:H22" si="3">+H12*$G$7</f>
        <v>45.434850000000004</v>
      </c>
      <c r="I13" s="103">
        <f t="shared" ref="I13:I22" si="4">+I12*$G$7</f>
        <v>47.858850000000004</v>
      </c>
      <c r="J13" s="104">
        <f t="shared" ref="J13:J22" si="5">+J12*$G$7</f>
        <v>46.44485000000001</v>
      </c>
      <c r="K13" s="102" t="s">
        <v>134</v>
      </c>
      <c r="L13" s="102">
        <f t="shared" si="0"/>
        <v>-3.2551499999999933</v>
      </c>
      <c r="M13" s="344" t="s">
        <v>91</v>
      </c>
      <c r="N13" s="345"/>
      <c r="O13" s="345"/>
      <c r="P13" s="345"/>
      <c r="Q13" s="345"/>
      <c r="S13" s="36">
        <v>2012</v>
      </c>
      <c r="T13" s="36">
        <v>1050</v>
      </c>
      <c r="U13" s="36">
        <v>1055</v>
      </c>
      <c r="V13" s="36">
        <v>1060</v>
      </c>
      <c r="W13" s="36">
        <v>1070</v>
      </c>
      <c r="X13" s="36">
        <v>1090</v>
      </c>
      <c r="Y13" s="36">
        <v>1095</v>
      </c>
      <c r="Z13" s="36">
        <v>1115</v>
      </c>
      <c r="AA13" s="36">
        <v>1120</v>
      </c>
      <c r="AB13" s="36">
        <v>1125</v>
      </c>
      <c r="AC13" s="36">
        <v>1135</v>
      </c>
      <c r="AD13" s="36">
        <v>1.0321100000000001</v>
      </c>
    </row>
    <row r="14" spans="1:30" x14ac:dyDescent="0.25">
      <c r="A14" s="14" t="s">
        <v>51</v>
      </c>
      <c r="B14" s="98" t="s">
        <v>687</v>
      </c>
      <c r="C14" s="1" t="s">
        <v>52</v>
      </c>
      <c r="E14" s="26">
        <f t="shared" si="1"/>
        <v>2015</v>
      </c>
      <c r="F14" s="94" t="s">
        <v>137</v>
      </c>
      <c r="G14" s="94">
        <f t="shared" si="2"/>
        <v>47.317338500000005</v>
      </c>
      <c r="H14" s="94">
        <f t="shared" si="3"/>
        <v>45.889198500000006</v>
      </c>
      <c r="I14" s="103">
        <f t="shared" si="4"/>
        <v>48.337438500000005</v>
      </c>
      <c r="J14" s="104">
        <f t="shared" si="5"/>
        <v>46.909298500000013</v>
      </c>
      <c r="K14" s="102" t="str">
        <f>+K13</f>
        <v xml:space="preserve"> </v>
      </c>
      <c r="L14" s="102">
        <f t="shared" si="0"/>
        <v>-2.7907014999999902</v>
      </c>
      <c r="M14" s="344"/>
      <c r="N14" s="345"/>
      <c r="O14" s="345"/>
      <c r="P14" s="345"/>
      <c r="Q14" s="345"/>
      <c r="S14" s="36">
        <v>2013</v>
      </c>
      <c r="T14" s="36">
        <v>1065</v>
      </c>
      <c r="U14" s="36">
        <v>1070</v>
      </c>
      <c r="V14" s="36">
        <v>1075</v>
      </c>
      <c r="W14" s="36">
        <v>1085</v>
      </c>
      <c r="X14" s="36">
        <v>1105</v>
      </c>
      <c r="Y14" s="36">
        <v>1110</v>
      </c>
      <c r="Z14" s="36">
        <v>1130</v>
      </c>
      <c r="AA14" s="36">
        <v>1135</v>
      </c>
      <c r="AB14" s="36">
        <v>1150</v>
      </c>
      <c r="AC14" s="36">
        <v>1150</v>
      </c>
      <c r="AD14" s="36">
        <v>1.040724</v>
      </c>
    </row>
    <row r="15" spans="1:30" ht="21.75" customHeight="1" x14ac:dyDescent="0.25">
      <c r="A15" s="14" t="s">
        <v>53</v>
      </c>
      <c r="B15" s="98" t="s">
        <v>183</v>
      </c>
      <c r="E15" s="26">
        <f t="shared" si="1"/>
        <v>2016</v>
      </c>
      <c r="F15" s="94" t="s">
        <v>137</v>
      </c>
      <c r="G15" s="94">
        <f t="shared" si="2"/>
        <v>47.790511885000008</v>
      </c>
      <c r="H15" s="101">
        <f t="shared" si="3"/>
        <v>46.348090485000007</v>
      </c>
      <c r="I15" s="101">
        <f t="shared" si="4"/>
        <v>48.820812885000002</v>
      </c>
      <c r="J15" s="104">
        <f t="shared" si="5"/>
        <v>47.378391485000016</v>
      </c>
      <c r="K15" s="95"/>
      <c r="L15" s="102">
        <f t="shared" si="0"/>
        <v>-2.321608514999987</v>
      </c>
      <c r="M15" s="344"/>
      <c r="N15" s="345"/>
      <c r="O15" s="345"/>
      <c r="P15" s="345"/>
      <c r="Q15" s="345"/>
      <c r="S15" s="36">
        <v>2014</v>
      </c>
      <c r="T15" s="36">
        <v>1080</v>
      </c>
      <c r="U15" s="36">
        <v>1085</v>
      </c>
      <c r="V15" s="36">
        <v>1090</v>
      </c>
      <c r="W15" s="36">
        <v>1100</v>
      </c>
      <c r="X15" s="36">
        <v>1120</v>
      </c>
      <c r="Y15" s="36">
        <v>1125</v>
      </c>
      <c r="Z15" s="36">
        <v>1145</v>
      </c>
      <c r="AA15" s="36">
        <v>1150</v>
      </c>
      <c r="AB15" s="36">
        <v>1165</v>
      </c>
      <c r="AC15" s="36">
        <v>1170</v>
      </c>
      <c r="AD15" s="36">
        <v>1.040179</v>
      </c>
    </row>
    <row r="16" spans="1:30" x14ac:dyDescent="0.25">
      <c r="A16" s="81" t="s">
        <v>41</v>
      </c>
      <c r="B16" s="381" t="s">
        <v>182</v>
      </c>
      <c r="E16" s="26">
        <f t="shared" si="1"/>
        <v>2017</v>
      </c>
      <c r="F16" s="94" t="s">
        <v>137</v>
      </c>
      <c r="G16" s="94">
        <f t="shared" si="2"/>
        <v>48.268417003850011</v>
      </c>
      <c r="H16" s="94">
        <f t="shared" si="3"/>
        <v>46.811571389850009</v>
      </c>
      <c r="I16" s="101">
        <f t="shared" si="4"/>
        <v>49.30902101385</v>
      </c>
      <c r="J16" s="95">
        <f t="shared" si="5"/>
        <v>47.852175399850019</v>
      </c>
      <c r="K16" s="95"/>
      <c r="L16" s="102">
        <f t="shared" si="0"/>
        <v>-1.8478246001499841</v>
      </c>
      <c r="M16" s="344"/>
      <c r="N16" s="345"/>
      <c r="O16" s="345"/>
      <c r="P16" s="345"/>
      <c r="Q16" s="345"/>
      <c r="S16" s="36">
        <v>2015</v>
      </c>
      <c r="T16" s="36">
        <v>1095</v>
      </c>
      <c r="U16" s="36">
        <v>1100</v>
      </c>
      <c r="V16" s="36">
        <v>1105</v>
      </c>
      <c r="W16" s="36">
        <v>1115</v>
      </c>
      <c r="X16" s="36">
        <v>1135</v>
      </c>
      <c r="Y16" s="36">
        <v>1140</v>
      </c>
      <c r="Z16" s="36">
        <v>1160</v>
      </c>
      <c r="AA16" s="36">
        <v>1165</v>
      </c>
      <c r="AB16" s="36">
        <v>1170</v>
      </c>
      <c r="AC16" s="36">
        <v>1180</v>
      </c>
      <c r="AD16" s="36">
        <v>1.030837</v>
      </c>
    </row>
    <row r="17" spans="1:30" ht="60.75" customHeight="1" x14ac:dyDescent="0.25">
      <c r="A17" s="81" t="s">
        <v>7</v>
      </c>
      <c r="B17" s="382"/>
      <c r="C17" s="1" t="s">
        <v>21</v>
      </c>
      <c r="E17" s="26">
        <f t="shared" si="1"/>
        <v>2018</v>
      </c>
      <c r="F17" s="94" t="s">
        <v>137</v>
      </c>
      <c r="G17" s="94">
        <f t="shared" si="2"/>
        <v>48.751101173888514</v>
      </c>
      <c r="H17" s="94">
        <f t="shared" si="3"/>
        <v>47.279687103748508</v>
      </c>
      <c r="I17" s="101">
        <f t="shared" si="4"/>
        <v>49.802111223988497</v>
      </c>
      <c r="J17" s="95">
        <f t="shared" si="5"/>
        <v>48.330697153848519</v>
      </c>
      <c r="K17" s="95"/>
      <c r="L17" s="102">
        <f t="shared" si="0"/>
        <v>-1.3693028461514842</v>
      </c>
      <c r="M17" s="356"/>
      <c r="N17" s="357"/>
      <c r="O17" s="357"/>
      <c r="P17" s="357"/>
      <c r="Q17" s="357"/>
      <c r="S17" s="36">
        <v>2016</v>
      </c>
      <c r="T17" s="36">
        <v>1105</v>
      </c>
      <c r="U17" s="36">
        <v>1110</v>
      </c>
      <c r="V17" s="36">
        <v>1115</v>
      </c>
      <c r="W17" s="36">
        <v>1125</v>
      </c>
      <c r="X17" s="36">
        <v>1145</v>
      </c>
      <c r="Y17" s="36">
        <v>1150</v>
      </c>
      <c r="Z17" s="36">
        <v>1170</v>
      </c>
      <c r="AA17" s="36">
        <v>1175</v>
      </c>
      <c r="AB17" s="36">
        <v>1190</v>
      </c>
      <c r="AC17" s="36">
        <v>1195</v>
      </c>
      <c r="AD17" s="36">
        <v>1.039301</v>
      </c>
    </row>
    <row r="18" spans="1:30" x14ac:dyDescent="0.25">
      <c r="A18" s="81" t="s">
        <v>72</v>
      </c>
      <c r="B18" s="81" t="s">
        <v>130</v>
      </c>
      <c r="C18" s="1" t="s">
        <v>73</v>
      </c>
      <c r="E18" s="26">
        <f t="shared" si="1"/>
        <v>2019</v>
      </c>
      <c r="F18" s="94" t="s">
        <v>137</v>
      </c>
      <c r="G18" s="94">
        <f t="shared" si="2"/>
        <v>49.238612185627403</v>
      </c>
      <c r="H18" s="94">
        <f t="shared" si="3"/>
        <v>47.752483974785996</v>
      </c>
      <c r="I18" s="101">
        <f t="shared" si="4"/>
        <v>50.30013233622838</v>
      </c>
      <c r="J18" s="95">
        <f t="shared" si="5"/>
        <v>48.814004125387001</v>
      </c>
      <c r="K18" s="95"/>
      <c r="L18" s="102">
        <f t="shared" si="0"/>
        <v>-0.88599587461300189</v>
      </c>
      <c r="M18" s="27" t="s">
        <v>89</v>
      </c>
      <c r="N18" s="28"/>
      <c r="O18" s="28"/>
      <c r="P18" s="28"/>
      <c r="Q18" s="29"/>
      <c r="S18" s="36">
        <v>2017</v>
      </c>
      <c r="T18" s="36">
        <v>1115</v>
      </c>
      <c r="U18" s="36">
        <v>1120</v>
      </c>
      <c r="V18" s="36">
        <v>1125</v>
      </c>
      <c r="W18" s="36">
        <v>1135</v>
      </c>
      <c r="X18" s="36">
        <v>1155</v>
      </c>
      <c r="Y18" s="36">
        <v>1160</v>
      </c>
      <c r="Z18" s="36">
        <v>1180</v>
      </c>
      <c r="AA18" s="36">
        <v>1185</v>
      </c>
      <c r="AB18" s="36">
        <v>1195</v>
      </c>
      <c r="AC18" s="36">
        <v>1205</v>
      </c>
      <c r="AD18" s="36">
        <v>1.034632</v>
      </c>
    </row>
    <row r="19" spans="1:30" x14ac:dyDescent="0.25">
      <c r="A19" s="81" t="s">
        <v>68</v>
      </c>
      <c r="B19" s="82" t="s">
        <v>181</v>
      </c>
      <c r="C19" s="1" t="s">
        <v>69</v>
      </c>
      <c r="E19" s="26">
        <f t="shared" si="1"/>
        <v>2020</v>
      </c>
      <c r="F19" s="94" t="s">
        <v>137</v>
      </c>
      <c r="G19" s="94">
        <f t="shared" si="2"/>
        <v>49.730998307483681</v>
      </c>
      <c r="H19" s="94">
        <f t="shared" si="3"/>
        <v>48.230008814533853</v>
      </c>
      <c r="I19" s="94">
        <f t="shared" si="4"/>
        <v>50.803133659590664</v>
      </c>
      <c r="J19" s="95">
        <f t="shared" si="5"/>
        <v>49.302144166640872</v>
      </c>
      <c r="K19" s="95"/>
      <c r="L19" s="102">
        <f t="shared" si="0"/>
        <v>-0.39785583335913088</v>
      </c>
      <c r="M19" s="413" t="s">
        <v>180</v>
      </c>
      <c r="N19" s="414"/>
      <c r="O19" s="414"/>
      <c r="P19" s="414"/>
      <c r="Q19" s="415"/>
      <c r="S19" s="36">
        <v>2018</v>
      </c>
      <c r="T19" s="36">
        <v>1125</v>
      </c>
      <c r="U19" s="36">
        <v>1130</v>
      </c>
      <c r="V19" s="36">
        <v>1140</v>
      </c>
      <c r="W19" s="36">
        <v>1150</v>
      </c>
      <c r="X19" s="36">
        <v>1170</v>
      </c>
      <c r="Y19" s="36">
        <v>1175</v>
      </c>
      <c r="Z19" s="36">
        <v>1195</v>
      </c>
      <c r="AA19" s="36">
        <v>1200</v>
      </c>
      <c r="AB19" s="36">
        <v>1215</v>
      </c>
      <c r="AC19" s="36">
        <v>1215</v>
      </c>
      <c r="AD19" s="36">
        <v>1.038462</v>
      </c>
    </row>
    <row r="20" spans="1:30" ht="21" customHeight="1" x14ac:dyDescent="0.25">
      <c r="A20" s="81" t="s">
        <v>67</v>
      </c>
      <c r="B20" s="81" t="s">
        <v>179</v>
      </c>
      <c r="C20" s="1" t="s">
        <v>70</v>
      </c>
      <c r="E20" s="26">
        <f t="shared" si="1"/>
        <v>2021</v>
      </c>
      <c r="F20" s="94" t="s">
        <v>137</v>
      </c>
      <c r="G20" s="94">
        <f t="shared" si="2"/>
        <v>50.228308290558516</v>
      </c>
      <c r="H20" s="94">
        <f t="shared" si="3"/>
        <v>48.71230890267919</v>
      </c>
      <c r="I20" s="101">
        <f t="shared" si="4"/>
        <v>51.311164996186569</v>
      </c>
      <c r="J20" s="95">
        <f t="shared" si="5"/>
        <v>49.795165608307279</v>
      </c>
      <c r="K20" s="95"/>
      <c r="L20" s="102">
        <f t="shared" si="0"/>
        <v>9.5165608307276273E-2</v>
      </c>
      <c r="M20" s="416"/>
      <c r="N20" s="417"/>
      <c r="O20" s="417"/>
      <c r="P20" s="417"/>
      <c r="Q20" s="418"/>
      <c r="S20" s="36">
        <v>2019</v>
      </c>
      <c r="T20" s="36">
        <v>1135</v>
      </c>
      <c r="U20" s="36">
        <v>1140</v>
      </c>
      <c r="V20" s="36">
        <v>1150</v>
      </c>
      <c r="W20" s="36">
        <v>1160</v>
      </c>
      <c r="X20" s="36">
        <v>1180</v>
      </c>
      <c r="Y20" s="36">
        <v>1185</v>
      </c>
      <c r="Z20" s="36">
        <v>1205</v>
      </c>
      <c r="AA20" s="36">
        <v>1210</v>
      </c>
      <c r="AB20" s="36">
        <v>1225</v>
      </c>
      <c r="AC20" s="36">
        <v>1230</v>
      </c>
      <c r="AD20" s="36">
        <v>1.0381359999999999</v>
      </c>
    </row>
    <row r="21" spans="1:30" ht="48.75" customHeight="1" x14ac:dyDescent="0.25">
      <c r="A21" s="64" t="s">
        <v>98</v>
      </c>
      <c r="B21" s="90">
        <v>2021</v>
      </c>
      <c r="C21" s="1" t="s">
        <v>58</v>
      </c>
      <c r="E21" s="26">
        <f t="shared" si="1"/>
        <v>2022</v>
      </c>
      <c r="F21" s="94" t="s">
        <v>137</v>
      </c>
      <c r="G21" s="94">
        <f t="shared" si="2"/>
        <v>50.730591373464101</v>
      </c>
      <c r="H21" s="94">
        <f t="shared" si="3"/>
        <v>49.199431991705985</v>
      </c>
      <c r="I21" s="94">
        <f t="shared" si="4"/>
        <v>51.824276646148434</v>
      </c>
      <c r="J21" s="94">
        <f t="shared" si="5"/>
        <v>50.293117264390354</v>
      </c>
      <c r="K21" s="94" t="s">
        <v>134</v>
      </c>
      <c r="L21" s="102">
        <f t="shared" si="0"/>
        <v>0.59311726439035084</v>
      </c>
      <c r="M21" s="419"/>
      <c r="N21" s="420"/>
      <c r="O21" s="420"/>
      <c r="P21" s="420"/>
      <c r="Q21" s="421"/>
      <c r="S21" s="36">
        <v>2020</v>
      </c>
      <c r="T21" s="36">
        <v>1145</v>
      </c>
      <c r="U21" s="36">
        <v>1150</v>
      </c>
      <c r="V21" s="36">
        <v>1155</v>
      </c>
      <c r="W21" s="36">
        <v>1170</v>
      </c>
      <c r="X21" s="36">
        <v>1190</v>
      </c>
      <c r="Y21" s="36">
        <v>1195</v>
      </c>
      <c r="Z21" s="36">
        <v>1215</v>
      </c>
      <c r="AA21" s="36">
        <v>1225</v>
      </c>
      <c r="AB21" s="36">
        <v>1235</v>
      </c>
      <c r="AC21" s="36">
        <v>1240</v>
      </c>
      <c r="AD21" s="36">
        <v>1.0378149999999999</v>
      </c>
    </row>
    <row r="22" spans="1:30" x14ac:dyDescent="0.25">
      <c r="A22" s="64" t="s">
        <v>5</v>
      </c>
      <c r="B22" s="91">
        <v>2500000</v>
      </c>
      <c r="C22" s="1" t="s">
        <v>6</v>
      </c>
      <c r="E22" s="26">
        <f t="shared" si="1"/>
        <v>2023</v>
      </c>
      <c r="F22" s="94" t="s">
        <v>137</v>
      </c>
      <c r="G22" s="94">
        <f t="shared" si="2"/>
        <v>51.237897287198741</v>
      </c>
      <c r="H22" s="94">
        <f t="shared" si="3"/>
        <v>49.691426311623047</v>
      </c>
      <c r="I22" s="94">
        <f t="shared" si="4"/>
        <v>52.342519412609917</v>
      </c>
      <c r="J22" s="101">
        <f t="shared" si="5"/>
        <v>50.796048437034258</v>
      </c>
      <c r="K22" s="94" t="s">
        <v>134</v>
      </c>
      <c r="L22" s="102">
        <f t="shared" si="0"/>
        <v>1.0960484370342556</v>
      </c>
      <c r="S22" s="36" t="s">
        <v>78</v>
      </c>
      <c r="T22" s="36"/>
      <c r="U22" s="36"/>
      <c r="V22" s="36"/>
      <c r="W22" s="36"/>
      <c r="X22" s="36"/>
      <c r="Y22" s="36"/>
      <c r="Z22" s="36"/>
      <c r="AA22" s="36"/>
      <c r="AB22" s="36"/>
      <c r="AC22" s="36"/>
      <c r="AD22" s="36"/>
    </row>
    <row r="23" spans="1:30" ht="34.5" customHeight="1" x14ac:dyDescent="0.25">
      <c r="A23" s="64" t="s">
        <v>55</v>
      </c>
      <c r="B23" s="92" t="s">
        <v>178</v>
      </c>
      <c r="C23" s="1" t="s">
        <v>54</v>
      </c>
      <c r="E23" s="26">
        <f t="shared" si="1"/>
        <v>2024</v>
      </c>
      <c r="F23" s="94" t="s">
        <v>137</v>
      </c>
      <c r="G23" s="94"/>
      <c r="H23" s="94">
        <f>+H22*$G$7</f>
        <v>50.188340574739279</v>
      </c>
      <c r="I23" s="94">
        <f>+I22*$G$7</f>
        <v>52.865944606736015</v>
      </c>
      <c r="J23" s="101">
        <f>+J22*$G$7</f>
        <v>51.304008921404602</v>
      </c>
      <c r="K23" s="94"/>
      <c r="L23" s="102">
        <f t="shared" si="0"/>
        <v>1.6040089214045992</v>
      </c>
      <c r="M23" s="344" t="s">
        <v>96</v>
      </c>
      <c r="N23" s="345"/>
      <c r="O23" s="345"/>
      <c r="P23" s="345"/>
      <c r="Q23" s="345"/>
      <c r="S23" s="36" t="s">
        <v>79</v>
      </c>
      <c r="T23" s="36">
        <v>1030</v>
      </c>
      <c r="U23" s="36">
        <v>1035</v>
      </c>
      <c r="V23" s="36">
        <v>1035</v>
      </c>
      <c r="W23" s="36">
        <v>1035</v>
      </c>
      <c r="X23" s="36">
        <v>1045</v>
      </c>
      <c r="Y23" s="36">
        <v>1050</v>
      </c>
      <c r="Z23" s="36">
        <v>1055</v>
      </c>
      <c r="AA23" s="36">
        <v>1055</v>
      </c>
      <c r="AB23" s="36">
        <v>1060</v>
      </c>
      <c r="AC23" s="36">
        <v>1070</v>
      </c>
      <c r="AD23" s="36">
        <v>1.014354</v>
      </c>
    </row>
    <row r="24" spans="1:30" ht="30.75" customHeight="1" x14ac:dyDescent="0.25">
      <c r="A24" s="64" t="s">
        <v>56</v>
      </c>
      <c r="B24" s="91">
        <f>+B22/6</f>
        <v>416666.66666666669</v>
      </c>
      <c r="C24" s="1" t="s">
        <v>57</v>
      </c>
      <c r="E24" s="26">
        <f t="shared" si="1"/>
        <v>2025</v>
      </c>
      <c r="F24" s="94"/>
      <c r="G24" s="94"/>
      <c r="H24" s="94"/>
      <c r="I24" s="94"/>
      <c r="J24" s="94"/>
      <c r="K24" s="94"/>
      <c r="L24" s="97"/>
      <c r="M24" s="344"/>
      <c r="N24" s="345"/>
      <c r="O24" s="345"/>
      <c r="P24" s="345"/>
      <c r="Q24" s="345"/>
      <c r="S24" s="36" t="s">
        <v>80</v>
      </c>
      <c r="T24" s="36">
        <v>1040</v>
      </c>
      <c r="U24" s="36">
        <v>1045</v>
      </c>
      <c r="V24" s="36">
        <v>1045</v>
      </c>
      <c r="W24" s="36">
        <v>1045</v>
      </c>
      <c r="X24" s="36">
        <v>1055</v>
      </c>
      <c r="Y24" s="36">
        <v>1060</v>
      </c>
      <c r="Z24" s="36">
        <v>1065</v>
      </c>
      <c r="AA24" s="36">
        <v>1065</v>
      </c>
      <c r="AB24" s="36">
        <v>1070</v>
      </c>
      <c r="AC24" s="36">
        <v>1080</v>
      </c>
      <c r="AD24" s="36">
        <v>1.0142180000000001</v>
      </c>
    </row>
    <row r="25" spans="1:30" x14ac:dyDescent="0.25">
      <c r="A25" s="68"/>
      <c r="B25" s="69"/>
      <c r="E25" s="26">
        <f t="shared" si="1"/>
        <v>2026</v>
      </c>
      <c r="F25" s="94"/>
      <c r="G25" s="94"/>
      <c r="H25" s="94"/>
      <c r="I25" s="94"/>
      <c r="J25" s="94"/>
      <c r="K25" s="94"/>
      <c r="L25" s="97"/>
      <c r="M25" s="344"/>
      <c r="N25" s="345"/>
      <c r="O25" s="345"/>
      <c r="P25" s="345"/>
      <c r="Q25" s="345"/>
      <c r="S25" s="36" t="s">
        <v>81</v>
      </c>
      <c r="T25" s="36">
        <v>1050</v>
      </c>
      <c r="U25" s="36">
        <v>1055</v>
      </c>
      <c r="V25" s="36">
        <v>1055</v>
      </c>
      <c r="W25" s="36">
        <v>1055</v>
      </c>
      <c r="X25" s="36">
        <v>1065</v>
      </c>
      <c r="Y25" s="36">
        <v>1070</v>
      </c>
      <c r="Z25" s="36">
        <v>1075</v>
      </c>
      <c r="AA25" s="36">
        <v>1075</v>
      </c>
      <c r="AB25" s="36">
        <v>1080</v>
      </c>
      <c r="AC25" s="36">
        <v>1095</v>
      </c>
      <c r="AD25" s="36">
        <v>1.0140849999999999</v>
      </c>
    </row>
    <row r="26" spans="1:30" x14ac:dyDescent="0.25">
      <c r="A26" s="412" t="s">
        <v>71</v>
      </c>
      <c r="B26" s="412"/>
      <c r="E26" s="26">
        <f t="shared" si="1"/>
        <v>2027</v>
      </c>
      <c r="F26" s="94"/>
      <c r="G26" s="94"/>
      <c r="H26" s="94"/>
      <c r="I26" s="94"/>
      <c r="J26" s="94"/>
      <c r="K26" s="94"/>
      <c r="L26" s="97"/>
      <c r="S26" s="36" t="s">
        <v>82</v>
      </c>
      <c r="T26" s="36">
        <v>1055</v>
      </c>
      <c r="U26" s="36">
        <v>1060</v>
      </c>
      <c r="V26" s="36">
        <v>1060</v>
      </c>
      <c r="W26" s="36">
        <v>1060</v>
      </c>
      <c r="X26" s="36">
        <v>1070</v>
      </c>
      <c r="Y26" s="36">
        <v>1075</v>
      </c>
      <c r="Z26" s="36">
        <v>1080</v>
      </c>
      <c r="AA26" s="36">
        <v>1080</v>
      </c>
      <c r="AB26" s="36">
        <v>1085</v>
      </c>
      <c r="AC26" s="36">
        <v>1095</v>
      </c>
      <c r="AD26" s="36">
        <v>1.014019</v>
      </c>
    </row>
    <row r="27" spans="1:30" x14ac:dyDescent="0.25">
      <c r="A27" s="3" t="s">
        <v>28</v>
      </c>
      <c r="B27" s="3"/>
      <c r="E27" s="26">
        <f t="shared" si="1"/>
        <v>2028</v>
      </c>
      <c r="F27" s="94"/>
      <c r="G27" s="94"/>
      <c r="H27" s="94"/>
      <c r="I27" s="94"/>
      <c r="J27" s="94"/>
      <c r="K27" s="94"/>
      <c r="L27" s="97"/>
      <c r="S27" s="36" t="s">
        <v>83</v>
      </c>
      <c r="T27" s="36">
        <v>1060</v>
      </c>
      <c r="U27" s="36">
        <v>1065</v>
      </c>
      <c r="V27" s="36">
        <v>1065</v>
      </c>
      <c r="W27" s="36">
        <v>1065</v>
      </c>
      <c r="X27" s="36">
        <v>1075</v>
      </c>
      <c r="Y27" s="36">
        <v>1080</v>
      </c>
      <c r="Z27" s="36">
        <v>1085</v>
      </c>
      <c r="AA27" s="36">
        <v>1085</v>
      </c>
      <c r="AB27" s="36">
        <v>1090</v>
      </c>
      <c r="AC27" s="36">
        <v>1110</v>
      </c>
      <c r="AD27" s="36">
        <v>1.0139530000000001</v>
      </c>
    </row>
    <row r="28" spans="1:30" x14ac:dyDescent="0.25">
      <c r="A28" s="3" t="s">
        <v>29</v>
      </c>
      <c r="B28" s="3"/>
      <c r="E28" s="26">
        <f t="shared" si="1"/>
        <v>2029</v>
      </c>
      <c r="F28" s="94"/>
      <c r="G28" s="94"/>
      <c r="H28" s="94"/>
      <c r="I28" s="94"/>
      <c r="J28" s="94"/>
      <c r="K28" s="94"/>
      <c r="L28" s="97"/>
      <c r="S28" s="36" t="s">
        <v>84</v>
      </c>
      <c r="T28" s="36">
        <v>1065</v>
      </c>
      <c r="U28" s="36">
        <v>1070</v>
      </c>
      <c r="V28" s="36">
        <v>1070</v>
      </c>
      <c r="W28" s="36">
        <v>1070</v>
      </c>
      <c r="X28" s="36">
        <v>1080</v>
      </c>
      <c r="Y28" s="36">
        <v>1085</v>
      </c>
      <c r="Z28" s="36">
        <v>1090</v>
      </c>
      <c r="AA28" s="36">
        <v>1090</v>
      </c>
      <c r="AB28" s="36">
        <v>1100</v>
      </c>
      <c r="AC28" s="36">
        <v>1110</v>
      </c>
      <c r="AD28" s="36">
        <v>1.018519</v>
      </c>
    </row>
    <row r="29" spans="1:30" ht="39.75" customHeight="1" x14ac:dyDescent="0.25">
      <c r="A29" s="3" t="s">
        <v>30</v>
      </c>
      <c r="B29" s="17" t="s">
        <v>177</v>
      </c>
      <c r="C29" s="1" t="s">
        <v>43</v>
      </c>
      <c r="E29" s="26">
        <f t="shared" si="1"/>
        <v>2030</v>
      </c>
      <c r="F29" s="94"/>
      <c r="G29" s="94"/>
      <c r="H29" s="94"/>
      <c r="I29" s="94"/>
      <c r="J29" s="94"/>
      <c r="K29" s="94"/>
      <c r="L29" s="97"/>
      <c r="S29" s="36" t="s">
        <v>85</v>
      </c>
      <c r="T29" s="36">
        <v>1075</v>
      </c>
      <c r="U29" s="36">
        <v>1080</v>
      </c>
      <c r="V29" s="36">
        <v>1080</v>
      </c>
      <c r="W29" s="36">
        <v>1080</v>
      </c>
      <c r="X29" s="36">
        <v>1090</v>
      </c>
      <c r="Y29" s="36">
        <v>1095</v>
      </c>
      <c r="Z29" s="36">
        <v>1100</v>
      </c>
      <c r="AA29" s="36">
        <v>1100</v>
      </c>
      <c r="AB29" s="36">
        <v>1105</v>
      </c>
      <c r="AC29" s="36">
        <v>1120</v>
      </c>
      <c r="AD29" s="36">
        <v>1.0137609999999999</v>
      </c>
    </row>
    <row r="30" spans="1:30" x14ac:dyDescent="0.25">
      <c r="A30" s="3" t="s">
        <v>44</v>
      </c>
      <c r="B30" s="3" t="s">
        <v>105</v>
      </c>
      <c r="E30" s="26">
        <f t="shared" si="1"/>
        <v>2031</v>
      </c>
      <c r="F30" s="94"/>
      <c r="G30" s="94"/>
      <c r="H30" s="94"/>
      <c r="I30" s="94"/>
      <c r="J30" s="94"/>
      <c r="K30" s="94"/>
      <c r="L30" s="97"/>
      <c r="S30" s="36" t="s">
        <v>86</v>
      </c>
      <c r="T30" s="36">
        <v>1080</v>
      </c>
      <c r="U30" s="36">
        <v>1085</v>
      </c>
      <c r="V30" s="36">
        <v>1085</v>
      </c>
      <c r="W30" s="36">
        <v>1085</v>
      </c>
      <c r="X30" s="36">
        <v>1095</v>
      </c>
      <c r="Y30" s="36">
        <v>1100</v>
      </c>
      <c r="Z30" s="36">
        <v>1105</v>
      </c>
      <c r="AA30" s="36">
        <v>1105</v>
      </c>
      <c r="AB30" s="36">
        <v>1110</v>
      </c>
      <c r="AC30" s="36">
        <v>1120</v>
      </c>
      <c r="AD30" s="36">
        <v>1.0136989999999999</v>
      </c>
    </row>
    <row r="31" spans="1:30" x14ac:dyDescent="0.25">
      <c r="A31" s="3" t="s">
        <v>47</v>
      </c>
      <c r="B31" s="3" t="s">
        <v>105</v>
      </c>
      <c r="E31" s="26">
        <f t="shared" si="1"/>
        <v>2032</v>
      </c>
      <c r="F31" s="94"/>
      <c r="G31" s="94"/>
      <c r="H31" s="94"/>
      <c r="I31" s="94"/>
      <c r="J31" s="94"/>
      <c r="K31" s="94"/>
      <c r="L31" s="97"/>
      <c r="S31" s="36" t="s">
        <v>87</v>
      </c>
      <c r="T31" s="36">
        <v>1085</v>
      </c>
      <c r="U31" s="36">
        <v>1090</v>
      </c>
      <c r="V31" s="36">
        <v>1090</v>
      </c>
      <c r="W31" s="36">
        <v>1090</v>
      </c>
      <c r="X31" s="36">
        <v>1100</v>
      </c>
      <c r="Y31" s="36">
        <v>1105</v>
      </c>
      <c r="Z31" s="36">
        <v>1110</v>
      </c>
      <c r="AA31" s="36">
        <v>1110</v>
      </c>
      <c r="AB31" s="36">
        <v>1115</v>
      </c>
      <c r="AC31" s="36">
        <v>1125</v>
      </c>
      <c r="AD31" s="36">
        <v>1.013636</v>
      </c>
    </row>
    <row r="32" spans="1:30" x14ac:dyDescent="0.25">
      <c r="A32" s="3" t="s">
        <v>45</v>
      </c>
      <c r="B32" s="3"/>
      <c r="S32" s="36" t="s">
        <v>88</v>
      </c>
      <c r="T32" s="36">
        <v>1090</v>
      </c>
      <c r="U32" s="36">
        <v>1095</v>
      </c>
      <c r="V32" s="36">
        <v>1095</v>
      </c>
      <c r="W32" s="36">
        <v>1095</v>
      </c>
      <c r="X32" s="36">
        <v>1105</v>
      </c>
      <c r="Y32" s="36">
        <v>1110</v>
      </c>
      <c r="Z32" s="36">
        <v>1115</v>
      </c>
      <c r="AA32" s="36">
        <v>1115</v>
      </c>
      <c r="AB32" s="36">
        <v>1120</v>
      </c>
      <c r="AC32" s="36">
        <v>1130</v>
      </c>
      <c r="AD32" s="36">
        <v>1.0135749999999999</v>
      </c>
    </row>
    <row r="33" spans="1:6" x14ac:dyDescent="0.25">
      <c r="A33" s="3" t="s">
        <v>46</v>
      </c>
      <c r="B33" s="3"/>
    </row>
    <row r="34" spans="1:6" ht="18.75" customHeight="1" x14ac:dyDescent="0.25">
      <c r="A34" s="84"/>
    </row>
    <row r="35" spans="1:6" x14ac:dyDescent="0.25">
      <c r="D35">
        <v>2004</v>
      </c>
      <c r="E35" s="20">
        <v>38.346514563106794</v>
      </c>
      <c r="F35" s="20">
        <v>39.780029126213591</v>
      </c>
    </row>
    <row r="36" spans="1:6" x14ac:dyDescent="0.25">
      <c r="D36">
        <v>2005</v>
      </c>
      <c r="E36">
        <v>41.133926940639263</v>
      </c>
      <c r="F36">
        <v>42.671643835616429</v>
      </c>
    </row>
    <row r="37" spans="1:6" x14ac:dyDescent="0.25">
      <c r="D37">
        <v>2006</v>
      </c>
      <c r="E37" t="s">
        <v>176</v>
      </c>
      <c r="F37" t="s">
        <v>176</v>
      </c>
    </row>
    <row r="38" spans="1:6" x14ac:dyDescent="0.25">
      <c r="A38" t="s">
        <v>175</v>
      </c>
      <c r="D38">
        <v>2007</v>
      </c>
      <c r="E38">
        <v>38.599990291262131</v>
      </c>
      <c r="F38">
        <v>40.042980582524265</v>
      </c>
    </row>
    <row r="39" spans="1:6" x14ac:dyDescent="0.25">
      <c r="D39">
        <v>2008</v>
      </c>
      <c r="E39">
        <v>42.000097087378641</v>
      </c>
      <c r="F39">
        <v>43.570194174757283</v>
      </c>
    </row>
    <row r="40" spans="1:6" x14ac:dyDescent="0.25">
      <c r="D40">
        <v>2009</v>
      </c>
      <c r="E40">
        <v>42.136184466019415</v>
      </c>
      <c r="F40">
        <v>43.71136893203883</v>
      </c>
    </row>
    <row r="41" spans="1:6" x14ac:dyDescent="0.25">
      <c r="D41">
        <v>2010</v>
      </c>
      <c r="E41">
        <v>38.470837837837841</v>
      </c>
      <c r="F41">
        <v>39.909000000000006</v>
      </c>
    </row>
    <row r="42" spans="1:6" x14ac:dyDescent="0.25">
      <c r="D42">
        <v>2011</v>
      </c>
      <c r="E42">
        <v>41.900368932038837</v>
      </c>
      <c r="F42">
        <v>43.466737864077672</v>
      </c>
    </row>
    <row r="43" spans="1:6" x14ac:dyDescent="0.25">
      <c r="E43"/>
      <c r="F43"/>
    </row>
    <row r="44" spans="1:6" x14ac:dyDescent="0.25">
      <c r="D44" s="20" t="s">
        <v>174</v>
      </c>
      <c r="F44" s="51">
        <v>1.027E-2</v>
      </c>
    </row>
    <row r="45" spans="1:6" x14ac:dyDescent="0.25">
      <c r="D45" s="20" t="s">
        <v>173</v>
      </c>
      <c r="F45" s="51">
        <v>9.4500000000000001E-3</v>
      </c>
    </row>
    <row r="46" spans="1:6" x14ac:dyDescent="0.25">
      <c r="E46" s="20" t="s">
        <v>172</v>
      </c>
      <c r="F46" s="51">
        <f>+(F44+F45)/2</f>
        <v>9.8600000000000007E-3</v>
      </c>
    </row>
    <row r="58" spans="3:11" x14ac:dyDescent="0.25">
      <c r="C58"/>
      <c r="E58"/>
      <c r="F58"/>
      <c r="G58"/>
      <c r="H58"/>
      <c r="I58"/>
      <c r="J58"/>
      <c r="K58"/>
    </row>
  </sheetData>
  <mergeCells count="10">
    <mergeCell ref="M23:Q25"/>
    <mergeCell ref="E9:L9"/>
    <mergeCell ref="M11:Q12"/>
    <mergeCell ref="M13:Q17"/>
    <mergeCell ref="M19:Q21"/>
    <mergeCell ref="D1:J1"/>
    <mergeCell ref="A6:B6"/>
    <mergeCell ref="A26:B26"/>
    <mergeCell ref="B16:B17"/>
    <mergeCell ref="E10:I10"/>
  </mergeCells>
  <pageMargins left="0.7" right="0.7" top="0.75" bottom="0.75" header="0.3" footer="0.3"/>
  <pageSetup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ACC33-D1BB-4109-A388-C65E0A53FFC4}">
  <sheetPr>
    <tabColor rgb="FF00B0F0"/>
    <pageSetUpPr fitToPage="1"/>
  </sheetPr>
  <dimension ref="A1:AA57"/>
  <sheetViews>
    <sheetView zoomScale="85" zoomScaleNormal="85" workbookViewId="0">
      <selection activeCell="C8" sqref="C8"/>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858</v>
      </c>
      <c r="B1" s="45"/>
      <c r="D1" s="347" t="s">
        <v>648</v>
      </c>
      <c r="E1" s="348"/>
      <c r="F1" s="348"/>
      <c r="G1" s="348"/>
      <c r="H1" s="349"/>
    </row>
    <row r="2" spans="1:27" x14ac:dyDescent="0.25">
      <c r="A2" s="272" t="s">
        <v>861</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157.5" x14ac:dyDescent="0.25">
      <c r="A8" s="3" t="s">
        <v>238</v>
      </c>
      <c r="B8" s="306" t="s">
        <v>867</v>
      </c>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3000000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191</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305"/>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59999389629810485"/>
    <pageSetUpPr fitToPage="1"/>
  </sheetPr>
  <dimension ref="A1:AB58"/>
  <sheetViews>
    <sheetView zoomScale="80" zoomScaleNormal="80" workbookViewId="0"/>
  </sheetViews>
  <sheetFormatPr defaultRowHeight="15" x14ac:dyDescent="0.25"/>
  <cols>
    <col min="1" max="1" width="63.7109375" customWidth="1"/>
    <col min="2" max="2" width="72.5703125" customWidth="1"/>
    <col min="3" max="3" width="44.42578125" style="1" customWidth="1"/>
    <col min="5" max="5" width="9.140625" style="20"/>
    <col min="6" max="6" width="14.42578125" style="20" customWidth="1"/>
    <col min="7" max="7" width="15.42578125" style="20" customWidth="1"/>
    <col min="8" max="9" width="18" style="20" customWidth="1"/>
    <col min="10" max="10" width="15.7109375" customWidth="1"/>
    <col min="17" max="17" width="11.28515625" style="121" customWidth="1"/>
  </cols>
  <sheetData>
    <row r="1" spans="1:28" ht="42" customHeight="1" x14ac:dyDescent="0.3">
      <c r="A1" s="114" t="s">
        <v>130</v>
      </c>
      <c r="B1" s="45"/>
      <c r="D1" s="347" t="s">
        <v>685</v>
      </c>
      <c r="E1" s="348"/>
      <c r="F1" s="348"/>
      <c r="G1" s="348"/>
      <c r="H1" s="348"/>
      <c r="I1" s="349"/>
    </row>
    <row r="2" spans="1:28" ht="24" customHeight="1" x14ac:dyDescent="0.25">
      <c r="A2" s="214" t="s">
        <v>733</v>
      </c>
    </row>
    <row r="3" spans="1:28" ht="15" customHeight="1" x14ac:dyDescent="0.25">
      <c r="A3" s="2" t="s">
        <v>8</v>
      </c>
      <c r="B3" s="2"/>
    </row>
    <row r="4" spans="1:28" ht="15" customHeight="1" x14ac:dyDescent="0.25">
      <c r="A4" s="9" t="s">
        <v>9</v>
      </c>
      <c r="B4" s="9"/>
    </row>
    <row r="5" spans="1:28" x14ac:dyDescent="0.25">
      <c r="C5" s="1" t="s">
        <v>31</v>
      </c>
    </row>
    <row r="6" spans="1:28" x14ac:dyDescent="0.25">
      <c r="A6" s="350" t="s">
        <v>10</v>
      </c>
      <c r="B6" s="351"/>
    </row>
    <row r="7" spans="1:28" ht="21" customHeight="1" x14ac:dyDescent="0.25">
      <c r="A7" s="3" t="s">
        <v>0</v>
      </c>
      <c r="B7" s="3" t="s">
        <v>130</v>
      </c>
      <c r="F7" s="43" t="s">
        <v>150</v>
      </c>
      <c r="G7" s="42">
        <v>1</v>
      </c>
    </row>
    <row r="8" spans="1:28" ht="60" customHeight="1" x14ac:dyDescent="0.25">
      <c r="A8" s="3" t="s">
        <v>2</v>
      </c>
      <c r="B8" s="85" t="s">
        <v>149</v>
      </c>
    </row>
    <row r="9" spans="1:28" ht="60" customHeight="1" x14ac:dyDescent="0.25">
      <c r="A9" s="63" t="s">
        <v>238</v>
      </c>
      <c r="B9" s="85" t="s">
        <v>256</v>
      </c>
      <c r="E9" s="352" t="s">
        <v>100</v>
      </c>
      <c r="F9" s="352"/>
      <c r="G9" s="352"/>
      <c r="H9" s="352"/>
      <c r="I9" s="352"/>
      <c r="J9" s="352"/>
    </row>
    <row r="10" spans="1:28" ht="15.75" thickBot="1" x14ac:dyDescent="0.3">
      <c r="A10" s="3" t="s">
        <v>1</v>
      </c>
      <c r="B10" s="3" t="s">
        <v>130</v>
      </c>
      <c r="C10" s="1" t="s">
        <v>48</v>
      </c>
      <c r="E10" s="353" t="s">
        <v>53</v>
      </c>
      <c r="F10" s="354"/>
      <c r="G10" s="354"/>
      <c r="H10" s="355"/>
      <c r="I10" s="72"/>
      <c r="J10" s="3" t="str">
        <f>B15</f>
        <v>95.6 MW</v>
      </c>
      <c r="K10" t="s">
        <v>74</v>
      </c>
      <c r="Q10" s="36" t="s">
        <v>76</v>
      </c>
      <c r="R10" s="36"/>
      <c r="S10" s="36"/>
      <c r="T10" s="36"/>
      <c r="U10" s="36"/>
      <c r="V10" s="36"/>
      <c r="W10" s="36"/>
      <c r="X10" s="36"/>
      <c r="Y10" s="36"/>
      <c r="Z10" s="36"/>
      <c r="AA10" s="36"/>
      <c r="AB10" s="36"/>
    </row>
    <row r="11" spans="1:28" ht="48" customHeight="1" thickBot="1" x14ac:dyDescent="0.3">
      <c r="A11" s="3" t="s">
        <v>4</v>
      </c>
      <c r="B11" s="3" t="s">
        <v>148</v>
      </c>
      <c r="C11" s="1" t="s">
        <v>3</v>
      </c>
      <c r="E11" s="30" t="s">
        <v>75</v>
      </c>
      <c r="F11" s="31" t="s">
        <v>147</v>
      </c>
      <c r="G11" s="31" t="s">
        <v>146</v>
      </c>
      <c r="H11" s="93" t="s">
        <v>145</v>
      </c>
      <c r="I11" s="93" t="s">
        <v>134</v>
      </c>
      <c r="J11" s="31" t="s">
        <v>144</v>
      </c>
      <c r="K11" s="344" t="s">
        <v>92</v>
      </c>
      <c r="L11" s="345"/>
      <c r="M11" s="345"/>
      <c r="N11" s="345"/>
      <c r="O11" s="345"/>
      <c r="Q11" s="36" t="s">
        <v>77</v>
      </c>
      <c r="R11" s="41">
        <v>0.9</v>
      </c>
      <c r="S11" s="39">
        <v>0.8</v>
      </c>
      <c r="T11" s="39">
        <v>0.7</v>
      </c>
      <c r="U11" s="40">
        <v>0.6</v>
      </c>
      <c r="V11" s="41">
        <v>0.5</v>
      </c>
      <c r="W11" s="39">
        <v>0.4</v>
      </c>
      <c r="X11" s="39">
        <v>0.3</v>
      </c>
      <c r="Y11" s="39">
        <v>0.2</v>
      </c>
      <c r="Z11" s="39">
        <v>0.1</v>
      </c>
      <c r="AA11" s="39">
        <v>0.05</v>
      </c>
      <c r="AB11" s="38">
        <v>18537</v>
      </c>
    </row>
    <row r="12" spans="1:28" ht="60.75" customHeight="1" x14ac:dyDescent="0.25">
      <c r="A12" s="7" t="s">
        <v>49</v>
      </c>
      <c r="B12" s="160" t="s">
        <v>765</v>
      </c>
      <c r="E12" s="26">
        <v>2014</v>
      </c>
      <c r="F12" s="94" t="s">
        <v>137</v>
      </c>
      <c r="G12" s="94" t="e">
        <f>73.4+B14</f>
        <v>#VALUE!</v>
      </c>
      <c r="H12" s="95" t="e">
        <f>+G12</f>
        <v>#VALUE!</v>
      </c>
      <c r="I12" s="93" t="s">
        <v>134</v>
      </c>
      <c r="J12" s="96" t="e">
        <f t="shared" ref="J12:J23" si="0">+H12-95.6</f>
        <v>#VALUE!</v>
      </c>
      <c r="K12" s="344"/>
      <c r="L12" s="345"/>
      <c r="M12" s="345"/>
      <c r="N12" s="345"/>
      <c r="O12" s="345"/>
      <c r="Q12" s="36">
        <v>2011</v>
      </c>
      <c r="R12" s="36">
        <v>1030</v>
      </c>
      <c r="S12" s="36">
        <v>1035</v>
      </c>
      <c r="T12" s="36">
        <v>1040</v>
      </c>
      <c r="U12" s="36">
        <v>1050</v>
      </c>
      <c r="V12" s="36">
        <v>1070</v>
      </c>
      <c r="W12" s="36">
        <v>1075</v>
      </c>
      <c r="X12" s="36">
        <v>1090</v>
      </c>
      <c r="Y12" s="36">
        <v>1095</v>
      </c>
      <c r="Z12" s="36">
        <v>1110</v>
      </c>
      <c r="AA12" s="36">
        <v>1110</v>
      </c>
      <c r="AB12" s="36">
        <v>1.0373829999999999</v>
      </c>
    </row>
    <row r="13" spans="1:28" ht="15" customHeight="1" x14ac:dyDescent="0.25">
      <c r="A13" s="7" t="s">
        <v>50</v>
      </c>
      <c r="B13" s="7" t="s">
        <v>143</v>
      </c>
      <c r="E13" s="26">
        <f t="shared" ref="E13:E31" si="1">+E12+1</f>
        <v>2015</v>
      </c>
      <c r="F13" s="94" t="s">
        <v>137</v>
      </c>
      <c r="G13" s="94" t="e">
        <f t="shared" ref="G13:G23" si="2">+G12*$G$7</f>
        <v>#VALUE!</v>
      </c>
      <c r="H13" s="95" t="e">
        <f>+G13+7.4</f>
        <v>#VALUE!</v>
      </c>
      <c r="I13" s="93" t="s">
        <v>134</v>
      </c>
      <c r="J13" s="96" t="e">
        <f t="shared" si="0"/>
        <v>#VALUE!</v>
      </c>
      <c r="K13" s="344" t="s">
        <v>91</v>
      </c>
      <c r="L13" s="345"/>
      <c r="M13" s="345"/>
      <c r="N13" s="345"/>
      <c r="O13" s="345"/>
      <c r="Q13" s="36">
        <v>2012</v>
      </c>
      <c r="R13" s="36">
        <v>1050</v>
      </c>
      <c r="S13" s="36">
        <v>1055</v>
      </c>
      <c r="T13" s="36">
        <v>1060</v>
      </c>
      <c r="U13" s="36">
        <v>1070</v>
      </c>
      <c r="V13" s="36">
        <v>1090</v>
      </c>
      <c r="W13" s="36">
        <v>1095</v>
      </c>
      <c r="X13" s="36">
        <v>1115</v>
      </c>
      <c r="Y13" s="36">
        <v>1120</v>
      </c>
      <c r="Z13" s="36">
        <v>1125</v>
      </c>
      <c r="AA13" s="36">
        <v>1135</v>
      </c>
      <c r="AB13" s="36">
        <v>1.0321100000000001</v>
      </c>
    </row>
    <row r="14" spans="1:28" x14ac:dyDescent="0.25">
      <c r="A14" s="7" t="s">
        <v>142</v>
      </c>
      <c r="B14" s="70" t="s">
        <v>405</v>
      </c>
      <c r="C14" s="1" t="s">
        <v>52</v>
      </c>
      <c r="E14" s="26">
        <f t="shared" si="1"/>
        <v>2016</v>
      </c>
      <c r="F14" s="94" t="s">
        <v>137</v>
      </c>
      <c r="G14" s="94" t="e">
        <f t="shared" si="2"/>
        <v>#VALUE!</v>
      </c>
      <c r="H14" s="95" t="e">
        <f t="shared" ref="H14:H23" si="3">+H13*$G$7</f>
        <v>#VALUE!</v>
      </c>
      <c r="I14" s="93" t="s">
        <v>134</v>
      </c>
      <c r="J14" s="96" t="e">
        <f t="shared" si="0"/>
        <v>#VALUE!</v>
      </c>
      <c r="K14" s="344"/>
      <c r="L14" s="345"/>
      <c r="M14" s="345"/>
      <c r="N14" s="345"/>
      <c r="O14" s="345"/>
      <c r="Q14" s="36">
        <v>2013</v>
      </c>
      <c r="R14" s="36">
        <v>1065</v>
      </c>
      <c r="S14" s="36">
        <v>1070</v>
      </c>
      <c r="T14" s="36">
        <v>1075</v>
      </c>
      <c r="U14" s="36">
        <v>1085</v>
      </c>
      <c r="V14" s="36">
        <v>1105</v>
      </c>
      <c r="W14" s="36">
        <v>1110</v>
      </c>
      <c r="X14" s="36">
        <v>1130</v>
      </c>
      <c r="Y14" s="36">
        <v>1135</v>
      </c>
      <c r="Z14" s="36">
        <v>1150</v>
      </c>
      <c r="AA14" s="36">
        <v>1150</v>
      </c>
      <c r="AB14" s="36">
        <v>1.040724</v>
      </c>
    </row>
    <row r="15" spans="1:28" ht="21.75" customHeight="1" x14ac:dyDescent="0.25">
      <c r="A15" s="7" t="s">
        <v>53</v>
      </c>
      <c r="B15" s="18" t="s">
        <v>141</v>
      </c>
      <c r="E15" s="26">
        <f t="shared" si="1"/>
        <v>2017</v>
      </c>
      <c r="F15" s="94" t="s">
        <v>137</v>
      </c>
      <c r="G15" s="94" t="e">
        <f t="shared" si="2"/>
        <v>#VALUE!</v>
      </c>
      <c r="H15" s="95" t="e">
        <f t="shared" si="3"/>
        <v>#VALUE!</v>
      </c>
      <c r="I15" s="93" t="s">
        <v>134</v>
      </c>
      <c r="J15" s="96" t="e">
        <f t="shared" si="0"/>
        <v>#VALUE!</v>
      </c>
      <c r="K15" s="344"/>
      <c r="L15" s="345"/>
      <c r="M15" s="345"/>
      <c r="N15" s="345"/>
      <c r="O15" s="345"/>
      <c r="Q15" s="36">
        <v>2014</v>
      </c>
      <c r="R15" s="36">
        <v>1080</v>
      </c>
      <c r="S15" s="36">
        <v>1085</v>
      </c>
      <c r="T15" s="36">
        <v>1090</v>
      </c>
      <c r="U15" s="36">
        <v>1100</v>
      </c>
      <c r="V15" s="36">
        <v>1120</v>
      </c>
      <c r="W15" s="36">
        <v>1125</v>
      </c>
      <c r="X15" s="36">
        <v>1145</v>
      </c>
      <c r="Y15" s="36">
        <v>1150</v>
      </c>
      <c r="Z15" s="36">
        <v>1165</v>
      </c>
      <c r="AA15" s="36">
        <v>1170</v>
      </c>
      <c r="AB15" s="36">
        <v>1.040179</v>
      </c>
    </row>
    <row r="16" spans="1:28" x14ac:dyDescent="0.25">
      <c r="A16" s="82" t="s">
        <v>41</v>
      </c>
      <c r="B16" s="381" t="s">
        <v>254</v>
      </c>
      <c r="E16" s="26">
        <f t="shared" si="1"/>
        <v>2018</v>
      </c>
      <c r="F16" s="94" t="s">
        <v>137</v>
      </c>
      <c r="G16" s="94" t="e">
        <f t="shared" si="2"/>
        <v>#VALUE!</v>
      </c>
      <c r="H16" s="95" t="e">
        <f t="shared" si="3"/>
        <v>#VALUE!</v>
      </c>
      <c r="I16" s="93" t="s">
        <v>134</v>
      </c>
      <c r="J16" s="96" t="e">
        <f t="shared" si="0"/>
        <v>#VALUE!</v>
      </c>
      <c r="K16" s="344"/>
      <c r="L16" s="345"/>
      <c r="M16" s="345"/>
      <c r="N16" s="345"/>
      <c r="O16" s="345"/>
      <c r="Q16" s="36">
        <v>2015</v>
      </c>
      <c r="R16" s="36">
        <v>1095</v>
      </c>
      <c r="S16" s="36">
        <v>1100</v>
      </c>
      <c r="T16" s="36">
        <v>1105</v>
      </c>
      <c r="U16" s="36">
        <v>1115</v>
      </c>
      <c r="V16" s="36">
        <v>1135</v>
      </c>
      <c r="W16" s="36">
        <v>1140</v>
      </c>
      <c r="X16" s="36">
        <v>1160</v>
      </c>
      <c r="Y16" s="36">
        <v>1165</v>
      </c>
      <c r="Z16" s="36">
        <v>1170</v>
      </c>
      <c r="AA16" s="36">
        <v>1180</v>
      </c>
      <c r="AB16" s="36">
        <v>1.030837</v>
      </c>
    </row>
    <row r="17" spans="1:28" ht="60.75" customHeight="1" x14ac:dyDescent="0.25">
      <c r="A17" s="82" t="s">
        <v>7</v>
      </c>
      <c r="B17" s="382"/>
      <c r="C17" s="1" t="s">
        <v>21</v>
      </c>
      <c r="E17" s="26">
        <f t="shared" si="1"/>
        <v>2019</v>
      </c>
      <c r="F17" s="94" t="s">
        <v>137</v>
      </c>
      <c r="G17" s="94" t="e">
        <f t="shared" si="2"/>
        <v>#VALUE!</v>
      </c>
      <c r="H17" s="95" t="e">
        <f t="shared" si="3"/>
        <v>#VALUE!</v>
      </c>
      <c r="I17" s="93" t="s">
        <v>134</v>
      </c>
      <c r="J17" s="96" t="e">
        <f t="shared" si="0"/>
        <v>#VALUE!</v>
      </c>
      <c r="K17" s="356"/>
      <c r="L17" s="357"/>
      <c r="M17" s="357"/>
      <c r="N17" s="357"/>
      <c r="O17" s="357"/>
      <c r="Q17" s="36">
        <v>2016</v>
      </c>
      <c r="R17" s="36">
        <v>1105</v>
      </c>
      <c r="S17" s="36">
        <v>1110</v>
      </c>
      <c r="T17" s="36">
        <v>1115</v>
      </c>
      <c r="U17" s="36">
        <v>1125</v>
      </c>
      <c r="V17" s="36">
        <v>1145</v>
      </c>
      <c r="W17" s="36">
        <v>1150</v>
      </c>
      <c r="X17" s="36">
        <v>1170</v>
      </c>
      <c r="Y17" s="36">
        <v>1175</v>
      </c>
      <c r="Z17" s="36">
        <v>1190</v>
      </c>
      <c r="AA17" s="36">
        <v>1195</v>
      </c>
      <c r="AB17" s="36">
        <v>1.039301</v>
      </c>
    </row>
    <row r="18" spans="1:28" x14ac:dyDescent="0.25">
      <c r="A18" s="81" t="s">
        <v>72</v>
      </c>
      <c r="B18" s="81" t="s">
        <v>130</v>
      </c>
      <c r="C18" s="1" t="s">
        <v>73</v>
      </c>
      <c r="E18" s="26">
        <f t="shared" si="1"/>
        <v>2020</v>
      </c>
      <c r="F18" s="94" t="s">
        <v>137</v>
      </c>
      <c r="G18" s="94" t="e">
        <f t="shared" si="2"/>
        <v>#VALUE!</v>
      </c>
      <c r="H18" s="95" t="e">
        <f t="shared" si="3"/>
        <v>#VALUE!</v>
      </c>
      <c r="I18" s="93" t="s">
        <v>134</v>
      </c>
      <c r="J18" s="96" t="e">
        <f t="shared" si="0"/>
        <v>#VALUE!</v>
      </c>
      <c r="K18" s="27" t="s">
        <v>89</v>
      </c>
      <c r="L18" s="28"/>
      <c r="M18" s="28"/>
      <c r="N18" s="28"/>
      <c r="O18" s="29"/>
      <c r="Q18" s="36">
        <v>2017</v>
      </c>
      <c r="R18" s="36">
        <v>1115</v>
      </c>
      <c r="S18" s="36">
        <v>1120</v>
      </c>
      <c r="T18" s="36">
        <v>1125</v>
      </c>
      <c r="U18" s="36">
        <v>1135</v>
      </c>
      <c r="V18" s="36">
        <v>1155</v>
      </c>
      <c r="W18" s="36">
        <v>1160</v>
      </c>
      <c r="X18" s="36">
        <v>1180</v>
      </c>
      <c r="Y18" s="36">
        <v>1185</v>
      </c>
      <c r="Z18" s="36">
        <v>1195</v>
      </c>
      <c r="AA18" s="36">
        <v>1205</v>
      </c>
      <c r="AB18" s="36">
        <v>1.034632</v>
      </c>
    </row>
    <row r="19" spans="1:28" x14ac:dyDescent="0.25">
      <c r="A19" s="81" t="s">
        <v>68</v>
      </c>
      <c r="B19" s="82" t="s">
        <v>140</v>
      </c>
      <c r="C19" s="1" t="s">
        <v>69</v>
      </c>
      <c r="E19" s="26">
        <f t="shared" si="1"/>
        <v>2021</v>
      </c>
      <c r="F19" s="94" t="s">
        <v>137</v>
      </c>
      <c r="G19" s="94" t="e">
        <f t="shared" si="2"/>
        <v>#VALUE!</v>
      </c>
      <c r="H19" s="95" t="e">
        <f t="shared" si="3"/>
        <v>#VALUE!</v>
      </c>
      <c r="I19" s="93" t="s">
        <v>134</v>
      </c>
      <c r="J19" s="96" t="e">
        <f t="shared" si="0"/>
        <v>#VALUE!</v>
      </c>
      <c r="K19" s="422" t="s">
        <v>134</v>
      </c>
      <c r="L19" s="423"/>
      <c r="M19" s="423"/>
      <c r="N19" s="423"/>
      <c r="O19" s="424"/>
      <c r="Q19" s="36">
        <v>2018</v>
      </c>
      <c r="R19" s="36">
        <v>1125</v>
      </c>
      <c r="S19" s="36">
        <v>1130</v>
      </c>
      <c r="T19" s="36">
        <v>1140</v>
      </c>
      <c r="U19" s="36">
        <v>1150</v>
      </c>
      <c r="V19" s="36">
        <v>1170</v>
      </c>
      <c r="W19" s="36">
        <v>1175</v>
      </c>
      <c r="X19" s="36">
        <v>1195</v>
      </c>
      <c r="Y19" s="36">
        <v>1200</v>
      </c>
      <c r="Z19" s="36">
        <v>1215</v>
      </c>
      <c r="AA19" s="36">
        <v>1215</v>
      </c>
      <c r="AB19" s="36">
        <v>1.038462</v>
      </c>
    </row>
    <row r="20" spans="1:28" ht="21" customHeight="1" x14ac:dyDescent="0.25">
      <c r="A20" s="81" t="s">
        <v>67</v>
      </c>
      <c r="B20" s="81" t="s">
        <v>139</v>
      </c>
      <c r="C20" s="1" t="s">
        <v>70</v>
      </c>
      <c r="E20" s="26">
        <f t="shared" si="1"/>
        <v>2022</v>
      </c>
      <c r="F20" s="94" t="s">
        <v>137</v>
      </c>
      <c r="G20" s="94" t="e">
        <f t="shared" si="2"/>
        <v>#VALUE!</v>
      </c>
      <c r="H20" s="95" t="e">
        <f t="shared" si="3"/>
        <v>#VALUE!</v>
      </c>
      <c r="I20" s="93" t="s">
        <v>134</v>
      </c>
      <c r="J20" s="96" t="e">
        <f t="shared" si="0"/>
        <v>#VALUE!</v>
      </c>
      <c r="K20" s="425"/>
      <c r="L20" s="426"/>
      <c r="M20" s="426"/>
      <c r="N20" s="426"/>
      <c r="O20" s="427"/>
      <c r="Q20" s="36">
        <v>2019</v>
      </c>
      <c r="R20" s="36">
        <v>1135</v>
      </c>
      <c r="S20" s="36">
        <v>1140</v>
      </c>
      <c r="T20" s="36">
        <v>1150</v>
      </c>
      <c r="U20" s="36">
        <v>1160</v>
      </c>
      <c r="V20" s="36">
        <v>1180</v>
      </c>
      <c r="W20" s="36">
        <v>1185</v>
      </c>
      <c r="X20" s="36">
        <v>1205</v>
      </c>
      <c r="Y20" s="36">
        <v>1210</v>
      </c>
      <c r="Z20" s="36">
        <v>1225</v>
      </c>
      <c r="AA20" s="36">
        <v>1230</v>
      </c>
      <c r="AB20" s="36">
        <v>1.0381359999999999</v>
      </c>
    </row>
    <row r="21" spans="1:28" ht="48.75" customHeight="1" x14ac:dyDescent="0.25">
      <c r="A21" s="3" t="s">
        <v>98</v>
      </c>
      <c r="B21" s="90" t="s">
        <v>255</v>
      </c>
      <c r="C21" s="1" t="s">
        <v>58</v>
      </c>
      <c r="E21" s="26">
        <f t="shared" si="1"/>
        <v>2023</v>
      </c>
      <c r="F21" s="94" t="s">
        <v>137</v>
      </c>
      <c r="G21" s="94" t="e">
        <f t="shared" si="2"/>
        <v>#VALUE!</v>
      </c>
      <c r="H21" s="95" t="e">
        <f t="shared" si="3"/>
        <v>#VALUE!</v>
      </c>
      <c r="I21" s="93" t="s">
        <v>134</v>
      </c>
      <c r="J21" s="96" t="e">
        <f t="shared" si="0"/>
        <v>#VALUE!</v>
      </c>
      <c r="K21" s="428"/>
      <c r="L21" s="429"/>
      <c r="M21" s="429"/>
      <c r="N21" s="429"/>
      <c r="O21" s="430"/>
      <c r="Q21" s="36">
        <v>2020</v>
      </c>
      <c r="R21" s="36">
        <v>1145</v>
      </c>
      <c r="S21" s="36">
        <v>1150</v>
      </c>
      <c r="T21" s="36">
        <v>1155</v>
      </c>
      <c r="U21" s="36">
        <v>1170</v>
      </c>
      <c r="V21" s="36">
        <v>1190</v>
      </c>
      <c r="W21" s="36">
        <v>1195</v>
      </c>
      <c r="X21" s="36">
        <v>1215</v>
      </c>
      <c r="Y21" s="36">
        <v>1225</v>
      </c>
      <c r="Z21" s="36">
        <v>1235</v>
      </c>
      <c r="AA21" s="36">
        <v>1240</v>
      </c>
      <c r="AB21" s="36">
        <v>1.0378149999999999</v>
      </c>
    </row>
    <row r="22" spans="1:28" x14ac:dyDescent="0.25">
      <c r="A22" s="3" t="s">
        <v>5</v>
      </c>
      <c r="B22" s="16">
        <v>30000000</v>
      </c>
      <c r="C22" s="1" t="s">
        <v>6</v>
      </c>
      <c r="E22" s="26">
        <f t="shared" si="1"/>
        <v>2024</v>
      </c>
      <c r="F22" s="94" t="s">
        <v>137</v>
      </c>
      <c r="G22" s="94" t="e">
        <f t="shared" si="2"/>
        <v>#VALUE!</v>
      </c>
      <c r="H22" s="95" t="e">
        <f t="shared" si="3"/>
        <v>#VALUE!</v>
      </c>
      <c r="I22" s="93" t="s">
        <v>134</v>
      </c>
      <c r="J22" s="96" t="e">
        <f t="shared" si="0"/>
        <v>#VALUE!</v>
      </c>
      <c r="Q22" s="36" t="s">
        <v>78</v>
      </c>
      <c r="R22" s="36"/>
      <c r="S22" s="36"/>
      <c r="T22" s="36"/>
      <c r="U22" s="36"/>
      <c r="V22" s="36"/>
      <c r="W22" s="36"/>
      <c r="X22" s="36"/>
      <c r="Y22" s="36"/>
      <c r="Z22" s="36"/>
      <c r="AA22" s="36"/>
      <c r="AB22" s="36"/>
    </row>
    <row r="23" spans="1:28" ht="34.5" customHeight="1" x14ac:dyDescent="0.25">
      <c r="A23" s="3" t="s">
        <v>55</v>
      </c>
      <c r="B23" s="17" t="s">
        <v>138</v>
      </c>
      <c r="C23" s="1" t="s">
        <v>54</v>
      </c>
      <c r="E23" s="26">
        <f t="shared" si="1"/>
        <v>2025</v>
      </c>
      <c r="F23" s="94" t="s">
        <v>137</v>
      </c>
      <c r="G23" s="94" t="e">
        <f t="shared" si="2"/>
        <v>#VALUE!</v>
      </c>
      <c r="H23" s="95" t="e">
        <f t="shared" si="3"/>
        <v>#VALUE!</v>
      </c>
      <c r="I23" s="93" t="s">
        <v>134</v>
      </c>
      <c r="J23" s="96" t="e">
        <f t="shared" si="0"/>
        <v>#VALUE!</v>
      </c>
      <c r="K23" s="344" t="s">
        <v>96</v>
      </c>
      <c r="L23" s="345"/>
      <c r="M23" s="345"/>
      <c r="N23" s="345"/>
      <c r="O23" s="345"/>
      <c r="Q23" s="36" t="s">
        <v>79</v>
      </c>
      <c r="R23" s="36">
        <v>1030</v>
      </c>
      <c r="S23" s="36">
        <v>1035</v>
      </c>
      <c r="T23" s="36">
        <v>1035</v>
      </c>
      <c r="U23" s="36">
        <v>1035</v>
      </c>
      <c r="V23" s="36">
        <v>1045</v>
      </c>
      <c r="W23" s="36">
        <v>1050</v>
      </c>
      <c r="X23" s="36">
        <v>1055</v>
      </c>
      <c r="Y23" s="36">
        <v>1055</v>
      </c>
      <c r="Z23" s="36">
        <v>1060</v>
      </c>
      <c r="AA23" s="36">
        <v>1070</v>
      </c>
      <c r="AB23" s="36">
        <v>1.014354</v>
      </c>
    </row>
    <row r="24" spans="1:28" ht="30.75" customHeight="1" x14ac:dyDescent="0.25">
      <c r="A24" s="3" t="s">
        <v>56</v>
      </c>
      <c r="B24" s="16">
        <v>5000000</v>
      </c>
      <c r="C24" s="1" t="s">
        <v>57</v>
      </c>
      <c r="E24" s="26">
        <f t="shared" si="1"/>
        <v>2026</v>
      </c>
      <c r="F24" s="94"/>
      <c r="G24" s="94"/>
      <c r="H24" s="94"/>
      <c r="I24" s="93" t="s">
        <v>134</v>
      </c>
      <c r="J24" s="97"/>
      <c r="K24" s="344"/>
      <c r="L24" s="345"/>
      <c r="M24" s="345"/>
      <c r="N24" s="345"/>
      <c r="O24" s="345"/>
      <c r="Q24" s="36" t="s">
        <v>80</v>
      </c>
      <c r="R24" s="36">
        <v>1040</v>
      </c>
      <c r="S24" s="36">
        <v>1045</v>
      </c>
      <c r="T24" s="36">
        <v>1045</v>
      </c>
      <c r="U24" s="36">
        <v>1045</v>
      </c>
      <c r="V24" s="36">
        <v>1055</v>
      </c>
      <c r="W24" s="36">
        <v>1060</v>
      </c>
      <c r="X24" s="36">
        <v>1065</v>
      </c>
      <c r="Y24" s="36">
        <v>1065</v>
      </c>
      <c r="Z24" s="36">
        <v>1070</v>
      </c>
      <c r="AA24" s="36">
        <v>1080</v>
      </c>
      <c r="AB24" s="36">
        <v>1.0142180000000001</v>
      </c>
    </row>
    <row r="25" spans="1:28" x14ac:dyDescent="0.25">
      <c r="A25" s="12"/>
      <c r="B25" s="13"/>
      <c r="E25" s="26">
        <f t="shared" si="1"/>
        <v>2027</v>
      </c>
      <c r="F25" s="94"/>
      <c r="G25" s="94"/>
      <c r="H25" s="94"/>
      <c r="I25" s="94"/>
      <c r="J25" s="97"/>
      <c r="K25" s="344"/>
      <c r="L25" s="345"/>
      <c r="M25" s="345"/>
      <c r="N25" s="345"/>
      <c r="O25" s="345"/>
      <c r="Q25" s="36" t="s">
        <v>81</v>
      </c>
      <c r="R25" s="36">
        <v>1050</v>
      </c>
      <c r="S25" s="36">
        <v>1055</v>
      </c>
      <c r="T25" s="36">
        <v>1055</v>
      </c>
      <c r="U25" s="36">
        <v>1055</v>
      </c>
      <c r="V25" s="36">
        <v>1065</v>
      </c>
      <c r="W25" s="36">
        <v>1070</v>
      </c>
      <c r="X25" s="36">
        <v>1075</v>
      </c>
      <c r="Y25" s="36">
        <v>1075</v>
      </c>
      <c r="Z25" s="36">
        <v>1080</v>
      </c>
      <c r="AA25" s="36">
        <v>1095</v>
      </c>
      <c r="AB25" s="36">
        <v>1.0140849999999999</v>
      </c>
    </row>
    <row r="26" spans="1:28" x14ac:dyDescent="0.25">
      <c r="A26" s="346" t="s">
        <v>71</v>
      </c>
      <c r="B26" s="346"/>
      <c r="E26" s="26">
        <f t="shared" si="1"/>
        <v>2028</v>
      </c>
      <c r="F26" s="94"/>
      <c r="G26" s="94"/>
      <c r="H26" s="94"/>
      <c r="I26" s="94"/>
      <c r="J26" s="97"/>
      <c r="Q26" s="36" t="s">
        <v>82</v>
      </c>
      <c r="R26" s="36">
        <v>1055</v>
      </c>
      <c r="S26" s="36">
        <v>1060</v>
      </c>
      <c r="T26" s="36">
        <v>1060</v>
      </c>
      <c r="U26" s="36">
        <v>1060</v>
      </c>
      <c r="V26" s="36">
        <v>1070</v>
      </c>
      <c r="W26" s="36">
        <v>1075</v>
      </c>
      <c r="X26" s="36">
        <v>1080</v>
      </c>
      <c r="Y26" s="36">
        <v>1080</v>
      </c>
      <c r="Z26" s="36">
        <v>1085</v>
      </c>
      <c r="AA26" s="36">
        <v>1095</v>
      </c>
      <c r="AB26" s="36">
        <v>1.014019</v>
      </c>
    </row>
    <row r="27" spans="1:28" x14ac:dyDescent="0.25">
      <c r="A27" s="3" t="s">
        <v>28</v>
      </c>
      <c r="B27" s="3"/>
      <c r="E27" s="26">
        <f t="shared" si="1"/>
        <v>2029</v>
      </c>
      <c r="F27" s="94"/>
      <c r="G27" s="94"/>
      <c r="H27" s="94"/>
      <c r="I27" s="94"/>
      <c r="J27" s="97"/>
      <c r="Q27" s="36" t="s">
        <v>83</v>
      </c>
      <c r="R27" s="36">
        <v>1060</v>
      </c>
      <c r="S27" s="36">
        <v>1065</v>
      </c>
      <c r="T27" s="36">
        <v>1065</v>
      </c>
      <c r="U27" s="36">
        <v>1065</v>
      </c>
      <c r="V27" s="36">
        <v>1075</v>
      </c>
      <c r="W27" s="36">
        <v>1080</v>
      </c>
      <c r="X27" s="36">
        <v>1085</v>
      </c>
      <c r="Y27" s="36">
        <v>1085</v>
      </c>
      <c r="Z27" s="36">
        <v>1090</v>
      </c>
      <c r="AA27" s="36">
        <v>1110</v>
      </c>
      <c r="AB27" s="36">
        <v>1.0139530000000001</v>
      </c>
    </row>
    <row r="28" spans="1:28" x14ac:dyDescent="0.25">
      <c r="A28" s="3" t="s">
        <v>29</v>
      </c>
      <c r="B28" s="3"/>
      <c r="E28" s="26">
        <f t="shared" si="1"/>
        <v>2030</v>
      </c>
      <c r="F28" s="94"/>
      <c r="G28" s="94"/>
      <c r="H28" s="94"/>
      <c r="I28" s="94"/>
      <c r="J28" s="97"/>
      <c r="Q28" s="36" t="s">
        <v>84</v>
      </c>
      <c r="R28" s="36">
        <v>1065</v>
      </c>
      <c r="S28" s="36">
        <v>1070</v>
      </c>
      <c r="T28" s="36">
        <v>1070</v>
      </c>
      <c r="U28" s="36">
        <v>1070</v>
      </c>
      <c r="V28" s="36">
        <v>1080</v>
      </c>
      <c r="W28" s="36">
        <v>1085</v>
      </c>
      <c r="X28" s="36">
        <v>1090</v>
      </c>
      <c r="Y28" s="36">
        <v>1090</v>
      </c>
      <c r="Z28" s="36">
        <v>1100</v>
      </c>
      <c r="AA28" s="36">
        <v>1110</v>
      </c>
      <c r="AB28" s="36">
        <v>1.018519</v>
      </c>
    </row>
    <row r="29" spans="1:28" ht="39.75" customHeight="1" x14ac:dyDescent="0.25">
      <c r="A29" s="3" t="s">
        <v>30</v>
      </c>
      <c r="B29" s="17" t="s">
        <v>136</v>
      </c>
      <c r="C29" s="1" t="s">
        <v>43</v>
      </c>
      <c r="E29" s="26">
        <f t="shared" si="1"/>
        <v>2031</v>
      </c>
      <c r="F29" s="94"/>
      <c r="G29" s="94"/>
      <c r="H29" s="94"/>
      <c r="I29" s="94"/>
      <c r="J29" s="97"/>
      <c r="Q29" s="36" t="s">
        <v>85</v>
      </c>
      <c r="R29" s="36">
        <v>1075</v>
      </c>
      <c r="S29" s="36">
        <v>1080</v>
      </c>
      <c r="T29" s="36">
        <v>1080</v>
      </c>
      <c r="U29" s="36">
        <v>1080</v>
      </c>
      <c r="V29" s="36">
        <v>1090</v>
      </c>
      <c r="W29" s="36">
        <v>1095</v>
      </c>
      <c r="X29" s="36">
        <v>1100</v>
      </c>
      <c r="Y29" s="36">
        <v>1100</v>
      </c>
      <c r="Z29" s="36">
        <v>1105</v>
      </c>
      <c r="AA29" s="36">
        <v>1120</v>
      </c>
      <c r="AB29" s="36">
        <v>1.0137609999999999</v>
      </c>
    </row>
    <row r="30" spans="1:28" x14ac:dyDescent="0.25">
      <c r="A30" s="3" t="s">
        <v>44</v>
      </c>
      <c r="B30" s="3" t="s">
        <v>105</v>
      </c>
      <c r="E30" s="26">
        <f t="shared" si="1"/>
        <v>2032</v>
      </c>
      <c r="F30" s="94"/>
      <c r="G30" s="94"/>
      <c r="H30" s="94"/>
      <c r="I30" s="94"/>
      <c r="J30" s="97"/>
      <c r="Q30" s="36" t="s">
        <v>86</v>
      </c>
      <c r="R30" s="36">
        <v>1080</v>
      </c>
      <c r="S30" s="36">
        <v>1085</v>
      </c>
      <c r="T30" s="36">
        <v>1085</v>
      </c>
      <c r="U30" s="36">
        <v>1085</v>
      </c>
      <c r="V30" s="36">
        <v>1095</v>
      </c>
      <c r="W30" s="36">
        <v>1100</v>
      </c>
      <c r="X30" s="36">
        <v>1105</v>
      </c>
      <c r="Y30" s="36">
        <v>1105</v>
      </c>
      <c r="Z30" s="36">
        <v>1110</v>
      </c>
      <c r="AA30" s="36">
        <v>1120</v>
      </c>
      <c r="AB30" s="36">
        <v>1.0136989999999999</v>
      </c>
    </row>
    <row r="31" spans="1:28" x14ac:dyDescent="0.25">
      <c r="A31" s="3" t="s">
        <v>47</v>
      </c>
      <c r="B31" s="3"/>
      <c r="E31" s="26">
        <f t="shared" si="1"/>
        <v>2033</v>
      </c>
      <c r="F31" s="26"/>
      <c r="G31" s="26"/>
      <c r="H31" s="26"/>
      <c r="I31" s="26"/>
      <c r="J31" s="3"/>
      <c r="Q31" s="36" t="s">
        <v>87</v>
      </c>
      <c r="R31" s="36">
        <v>1085</v>
      </c>
      <c r="S31" s="36">
        <v>1090</v>
      </c>
      <c r="T31" s="36">
        <v>1090</v>
      </c>
      <c r="U31" s="36">
        <v>1090</v>
      </c>
      <c r="V31" s="36">
        <v>1100</v>
      </c>
      <c r="W31" s="36">
        <v>1105</v>
      </c>
      <c r="X31" s="36">
        <v>1110</v>
      </c>
      <c r="Y31" s="36">
        <v>1110</v>
      </c>
      <c r="Z31" s="36">
        <v>1115</v>
      </c>
      <c r="AA31" s="36">
        <v>1125</v>
      </c>
      <c r="AB31" s="36">
        <v>1.013636</v>
      </c>
    </row>
    <row r="32" spans="1:28" x14ac:dyDescent="0.25">
      <c r="A32" s="3" t="s">
        <v>45</v>
      </c>
      <c r="B32" s="3"/>
      <c r="Q32" s="36" t="s">
        <v>88</v>
      </c>
      <c r="R32" s="36">
        <v>1090</v>
      </c>
      <c r="S32" s="36">
        <v>1095</v>
      </c>
      <c r="T32" s="36">
        <v>1095</v>
      </c>
      <c r="U32" s="36">
        <v>1095</v>
      </c>
      <c r="V32" s="36">
        <v>1105</v>
      </c>
      <c r="W32" s="36">
        <v>1110</v>
      </c>
      <c r="X32" s="36">
        <v>1115</v>
      </c>
      <c r="Y32" s="36">
        <v>1115</v>
      </c>
      <c r="Z32" s="36">
        <v>1120</v>
      </c>
      <c r="AA32" s="36">
        <v>1130</v>
      </c>
      <c r="AB32" s="36">
        <v>1.0135749999999999</v>
      </c>
    </row>
    <row r="33" spans="1:2" x14ac:dyDescent="0.25">
      <c r="A33" s="3" t="s">
        <v>46</v>
      </c>
      <c r="B33" s="3" t="s">
        <v>105</v>
      </c>
    </row>
    <row r="34" spans="1:2" ht="19.5" customHeight="1" x14ac:dyDescent="0.25">
      <c r="A34" s="84"/>
    </row>
    <row r="58" spans="3:9" x14ac:dyDescent="0.25">
      <c r="C58"/>
      <c r="E58"/>
      <c r="F58"/>
      <c r="G58"/>
      <c r="H58"/>
      <c r="I58"/>
    </row>
  </sheetData>
  <mergeCells count="10">
    <mergeCell ref="D1:I1"/>
    <mergeCell ref="A6:B6"/>
    <mergeCell ref="A26:B26"/>
    <mergeCell ref="B16:B17"/>
    <mergeCell ref="E10:H10"/>
    <mergeCell ref="K23:O25"/>
    <mergeCell ref="E9:J9"/>
    <mergeCell ref="K11:O12"/>
    <mergeCell ref="K13:O17"/>
    <mergeCell ref="K19:O21"/>
  </mergeCells>
  <pageMargins left="0.7" right="0.7" top="0.75" bottom="0.75" header="0.3" footer="0.3"/>
  <pageSetup scale="56"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tint="0.59999389629810485"/>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46.5" customHeight="1" x14ac:dyDescent="0.3">
      <c r="A1" s="114" t="s">
        <v>289</v>
      </c>
      <c r="B1" s="45"/>
      <c r="D1" s="431" t="s">
        <v>456</v>
      </c>
      <c r="E1" s="432"/>
      <c r="F1" s="432"/>
      <c r="G1" s="432"/>
      <c r="H1" s="433"/>
    </row>
    <row r="2" spans="1:27" x14ac:dyDescent="0.25">
      <c r="A2" s="58" t="s">
        <v>460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289</v>
      </c>
    </row>
    <row r="8" spans="1:27" ht="168" customHeight="1" x14ac:dyDescent="0.25">
      <c r="A8" s="3" t="s">
        <v>2</v>
      </c>
      <c r="B8" s="89" t="s">
        <v>391</v>
      </c>
      <c r="E8" s="352" t="s">
        <v>100</v>
      </c>
      <c r="F8" s="352"/>
      <c r="G8" s="352"/>
      <c r="H8" s="352"/>
      <c r="I8" s="352"/>
    </row>
    <row r="9" spans="1:27" ht="15.75" thickBot="1" x14ac:dyDescent="0.3">
      <c r="A9" s="3" t="s">
        <v>1</v>
      </c>
      <c r="B9" s="3" t="s">
        <v>101</v>
      </c>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t="s">
        <v>102</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ht="46.15" customHeight="1" x14ac:dyDescent="0.25">
      <c r="A13" s="7" t="s">
        <v>51</v>
      </c>
      <c r="B13" s="18" t="s">
        <v>457</v>
      </c>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D1:H1"/>
    <mergeCell ref="J18:N20"/>
    <mergeCell ref="J22:N24"/>
    <mergeCell ref="A25:B25"/>
    <mergeCell ref="A6:B6"/>
    <mergeCell ref="E8:I8"/>
    <mergeCell ref="E9:H9"/>
    <mergeCell ref="J10:N11"/>
    <mergeCell ref="J12:N16"/>
    <mergeCell ref="B15:B1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A1:AD39"/>
  <sheetViews>
    <sheetView zoomScale="80" zoomScaleNormal="80" workbookViewId="0"/>
  </sheetViews>
  <sheetFormatPr defaultRowHeight="15" x14ac:dyDescent="0.25"/>
  <cols>
    <col min="1" max="1" width="67.140625" customWidth="1"/>
    <col min="2" max="2" width="64" customWidth="1"/>
    <col min="3" max="3" width="38.7109375" customWidth="1"/>
    <col min="19" max="19" width="11.140625" style="121" customWidth="1"/>
  </cols>
  <sheetData>
    <row r="1" spans="1:30" ht="51.75" customHeight="1" x14ac:dyDescent="0.3">
      <c r="A1" s="111" t="s">
        <v>297</v>
      </c>
      <c r="B1" s="45"/>
      <c r="C1" s="1"/>
      <c r="D1" s="386" t="s">
        <v>311</v>
      </c>
      <c r="E1" s="387"/>
      <c r="F1" s="387"/>
      <c r="G1" s="387"/>
      <c r="H1" s="387"/>
      <c r="I1" s="387"/>
      <c r="J1" s="387"/>
      <c r="K1" s="387"/>
      <c r="L1" s="388"/>
    </row>
    <row r="2" spans="1:30" ht="32.25" customHeight="1" x14ac:dyDescent="0.25">
      <c r="A2" t="s">
        <v>241</v>
      </c>
      <c r="C2" s="1"/>
      <c r="M2" s="20"/>
      <c r="N2" s="20"/>
      <c r="O2" s="20"/>
      <c r="P2" s="20"/>
      <c r="Q2" s="20"/>
    </row>
    <row r="3" spans="1:30" ht="15" customHeight="1" x14ac:dyDescent="0.25">
      <c r="A3" s="2" t="s">
        <v>8</v>
      </c>
      <c r="B3" s="2"/>
      <c r="C3" s="1"/>
      <c r="E3" s="20"/>
      <c r="F3" s="20"/>
      <c r="G3" s="20"/>
      <c r="H3" s="20"/>
      <c r="I3" s="20"/>
      <c r="J3" s="20"/>
      <c r="K3" s="20"/>
    </row>
    <row r="4" spans="1:30" ht="12.75" customHeight="1" x14ac:dyDescent="0.25">
      <c r="A4" s="9" t="s">
        <v>9</v>
      </c>
      <c r="B4" s="9"/>
      <c r="C4" s="1"/>
      <c r="E4" s="20"/>
      <c r="F4" s="20"/>
      <c r="G4" s="20"/>
      <c r="H4" s="20"/>
      <c r="I4" s="20"/>
      <c r="J4" s="20"/>
      <c r="K4" s="20"/>
    </row>
    <row r="5" spans="1:30" x14ac:dyDescent="0.25">
      <c r="C5" s="1" t="s">
        <v>31</v>
      </c>
      <c r="E5" s="20"/>
      <c r="F5" s="20"/>
      <c r="G5" s="20"/>
      <c r="H5" s="20"/>
      <c r="I5" s="20"/>
      <c r="J5" s="20"/>
      <c r="K5" s="20"/>
    </row>
    <row r="6" spans="1:30" x14ac:dyDescent="0.25">
      <c r="A6" s="350" t="s">
        <v>10</v>
      </c>
      <c r="B6" s="351"/>
      <c r="C6" s="1"/>
      <c r="E6" s="20"/>
      <c r="F6" s="20"/>
      <c r="G6" s="20"/>
      <c r="H6" s="20"/>
      <c r="I6" s="20"/>
      <c r="J6" s="20"/>
      <c r="K6" s="20" t="s">
        <v>134</v>
      </c>
    </row>
    <row r="7" spans="1:30" ht="33.75" customHeight="1" x14ac:dyDescent="0.25">
      <c r="A7" s="3" t="s">
        <v>0</v>
      </c>
      <c r="B7" s="3" t="s">
        <v>242</v>
      </c>
      <c r="C7" s="1"/>
      <c r="D7" t="str">
        <f>+'St. Albans'!D4</f>
        <v xml:space="preserve"> </v>
      </c>
      <c r="E7" s="20"/>
      <c r="F7" s="43" t="s">
        <v>150</v>
      </c>
      <c r="G7" s="43">
        <v>1</v>
      </c>
      <c r="H7" s="43"/>
      <c r="I7" s="20" t="s">
        <v>169</v>
      </c>
      <c r="J7" s="53">
        <v>0</v>
      </c>
      <c r="K7" s="20" t="s">
        <v>168</v>
      </c>
      <c r="L7" s="52" t="s">
        <v>134</v>
      </c>
      <c r="M7" t="s">
        <v>201</v>
      </c>
    </row>
    <row r="8" spans="1:30" ht="108" customHeight="1" x14ac:dyDescent="0.25">
      <c r="A8" s="3" t="s">
        <v>2</v>
      </c>
      <c r="B8" s="85" t="s">
        <v>243</v>
      </c>
      <c r="C8" s="1"/>
    </row>
    <row r="9" spans="1:30" ht="139.5" customHeight="1" x14ac:dyDescent="0.25">
      <c r="A9" s="63" t="s">
        <v>238</v>
      </c>
      <c r="B9" s="85" t="s">
        <v>244</v>
      </c>
      <c r="C9" s="1"/>
      <c r="E9" s="352" t="s">
        <v>100</v>
      </c>
      <c r="F9" s="352"/>
      <c r="G9" s="352"/>
      <c r="H9" s="352"/>
      <c r="I9" s="352"/>
      <c r="J9" s="352"/>
      <c r="K9" s="352"/>
      <c r="L9" s="352"/>
    </row>
    <row r="10" spans="1:30" ht="15.75" thickBot="1" x14ac:dyDescent="0.3">
      <c r="A10" s="3" t="s">
        <v>1</v>
      </c>
      <c r="B10" s="3" t="s">
        <v>245</v>
      </c>
      <c r="C10" s="1" t="s">
        <v>48</v>
      </c>
      <c r="E10" s="353" t="s">
        <v>53</v>
      </c>
      <c r="F10" s="354"/>
      <c r="G10" s="354"/>
      <c r="H10" s="354"/>
      <c r="I10" s="355"/>
      <c r="J10" s="99" t="s">
        <v>134</v>
      </c>
      <c r="K10" s="72"/>
      <c r="L10" s="3" t="str">
        <f>B15</f>
        <v>14 MVA</v>
      </c>
      <c r="M10" t="s">
        <v>74</v>
      </c>
      <c r="S10" s="36" t="s">
        <v>76</v>
      </c>
      <c r="T10" s="36"/>
      <c r="U10" s="36"/>
      <c r="V10" s="36"/>
      <c r="W10" s="36"/>
      <c r="X10" s="36"/>
      <c r="Y10" s="36"/>
      <c r="Z10" s="36"/>
      <c r="AA10" s="36"/>
      <c r="AB10" s="36"/>
      <c r="AC10" s="36"/>
      <c r="AD10" s="36"/>
    </row>
    <row r="11" spans="1:30" ht="105.75" thickBot="1" x14ac:dyDescent="0.3">
      <c r="A11" s="3" t="s">
        <v>4</v>
      </c>
      <c r="B11" s="3" t="s">
        <v>148</v>
      </c>
      <c r="C11" s="1" t="s">
        <v>3</v>
      </c>
      <c r="E11" s="30" t="s">
        <v>75</v>
      </c>
      <c r="F11" s="31" t="s">
        <v>147</v>
      </c>
      <c r="G11" s="31" t="s">
        <v>146</v>
      </c>
      <c r="H11" s="31" t="s">
        <v>186</v>
      </c>
      <c r="I11" s="100" t="s">
        <v>90</v>
      </c>
      <c r="J11" s="93" t="s">
        <v>185</v>
      </c>
      <c r="K11" s="31" t="s">
        <v>144</v>
      </c>
      <c r="L11" s="31" t="s">
        <v>184</v>
      </c>
      <c r="M11" s="344" t="s">
        <v>92</v>
      </c>
      <c r="N11" s="345"/>
      <c r="O11" s="345"/>
      <c r="P11" s="345"/>
      <c r="Q11" s="345"/>
      <c r="S11" s="36" t="s">
        <v>77</v>
      </c>
      <c r="T11" s="41">
        <v>0.9</v>
      </c>
      <c r="U11" s="39">
        <v>0.8</v>
      </c>
      <c r="V11" s="39">
        <v>0.7</v>
      </c>
      <c r="W11" s="40">
        <v>0.6</v>
      </c>
      <c r="X11" s="41">
        <v>0.5</v>
      </c>
      <c r="Y11" s="39">
        <v>0.4</v>
      </c>
      <c r="Z11" s="39">
        <v>0.3</v>
      </c>
      <c r="AA11" s="39">
        <v>0.2</v>
      </c>
      <c r="AB11" s="39">
        <v>0.1</v>
      </c>
      <c r="AC11" s="39">
        <v>0.05</v>
      </c>
      <c r="AD11" s="38">
        <v>18537</v>
      </c>
    </row>
    <row r="12" spans="1:30" ht="15.75" x14ac:dyDescent="0.25">
      <c r="A12" s="14" t="s">
        <v>49</v>
      </c>
      <c r="B12" s="110" t="s">
        <v>200</v>
      </c>
      <c r="C12" s="1"/>
      <c r="E12" s="26">
        <v>2014</v>
      </c>
      <c r="F12" s="94" t="s">
        <v>137</v>
      </c>
      <c r="G12" s="94">
        <v>11</v>
      </c>
      <c r="H12" s="94">
        <f>+G12-(J7*0.5)</f>
        <v>11</v>
      </c>
      <c r="I12" s="101" t="s">
        <v>137</v>
      </c>
      <c r="J12" s="101" t="s">
        <v>137</v>
      </c>
      <c r="K12" s="102" t="s">
        <v>134</v>
      </c>
      <c r="L12" s="102">
        <f>+H12-14</f>
        <v>-3</v>
      </c>
      <c r="M12" s="344"/>
      <c r="N12" s="345"/>
      <c r="O12" s="345"/>
      <c r="P12" s="345"/>
      <c r="Q12" s="345"/>
      <c r="S12" s="36">
        <v>2011</v>
      </c>
      <c r="T12" s="36">
        <v>1030</v>
      </c>
      <c r="U12" s="36">
        <v>1035</v>
      </c>
      <c r="V12" s="36">
        <v>1040</v>
      </c>
      <c r="W12" s="36">
        <v>1050</v>
      </c>
      <c r="X12" s="36">
        <v>1070</v>
      </c>
      <c r="Y12" s="36">
        <v>1075</v>
      </c>
      <c r="Z12" s="36">
        <v>1090</v>
      </c>
      <c r="AA12" s="36">
        <v>1095</v>
      </c>
      <c r="AB12" s="36">
        <v>1110</v>
      </c>
      <c r="AC12" s="36">
        <v>1110</v>
      </c>
      <c r="AD12" s="36">
        <v>1.0373829999999999</v>
      </c>
    </row>
    <row r="13" spans="1:30" ht="15.75" x14ac:dyDescent="0.25">
      <c r="A13" s="14" t="s">
        <v>50</v>
      </c>
      <c r="B13" s="110" t="str">
        <f>+B12</f>
        <v>11 MVA</v>
      </c>
      <c r="C13" s="1"/>
      <c r="E13" s="26">
        <f t="shared" ref="E13:E31" si="0">+E12+1</f>
        <v>2015</v>
      </c>
      <c r="F13" s="94" t="s">
        <v>137</v>
      </c>
      <c r="G13" s="94">
        <f>14+2</f>
        <v>16</v>
      </c>
      <c r="H13" s="94">
        <v>14</v>
      </c>
      <c r="I13" s="101" t="s">
        <v>137</v>
      </c>
      <c r="J13" s="101" t="s">
        <v>137</v>
      </c>
      <c r="K13" s="102" t="s">
        <v>134</v>
      </c>
      <c r="L13" s="102">
        <f t="shared" ref="L13:L23" si="1">+G13-14</f>
        <v>2</v>
      </c>
      <c r="M13" s="344" t="s">
        <v>91</v>
      </c>
      <c r="N13" s="345"/>
      <c r="O13" s="345"/>
      <c r="P13" s="345"/>
      <c r="Q13" s="345"/>
      <c r="S13" s="36">
        <v>2012</v>
      </c>
      <c r="T13" s="36">
        <v>1050</v>
      </c>
      <c r="U13" s="36">
        <v>1055</v>
      </c>
      <c r="V13" s="36">
        <v>1060</v>
      </c>
      <c r="W13" s="36">
        <v>1070</v>
      </c>
      <c r="X13" s="36">
        <v>1090</v>
      </c>
      <c r="Y13" s="36">
        <v>1095</v>
      </c>
      <c r="Z13" s="36">
        <v>1115</v>
      </c>
      <c r="AA13" s="36">
        <v>1120</v>
      </c>
      <c r="AB13" s="36">
        <v>1125</v>
      </c>
      <c r="AC13" s="36">
        <v>1135</v>
      </c>
      <c r="AD13" s="36">
        <v>1.0321100000000001</v>
      </c>
    </row>
    <row r="14" spans="1:30" x14ac:dyDescent="0.25">
      <c r="A14" s="14" t="s">
        <v>51</v>
      </c>
      <c r="B14" s="15" t="s">
        <v>199</v>
      </c>
      <c r="C14" s="1" t="s">
        <v>52</v>
      </c>
      <c r="E14" s="26">
        <f t="shared" si="0"/>
        <v>2016</v>
      </c>
      <c r="F14" s="94" t="s">
        <v>137</v>
      </c>
      <c r="G14" s="94">
        <f>+G13+2</f>
        <v>18</v>
      </c>
      <c r="H14" s="94">
        <f t="shared" ref="H14:H23" si="2">+H13*$G$7</f>
        <v>14</v>
      </c>
      <c r="I14" s="101" t="s">
        <v>137</v>
      </c>
      <c r="J14" s="101" t="s">
        <v>137</v>
      </c>
      <c r="K14" s="102" t="str">
        <f>+K13</f>
        <v xml:space="preserve"> </v>
      </c>
      <c r="L14" s="102">
        <f t="shared" si="1"/>
        <v>4</v>
      </c>
      <c r="M14" s="344"/>
      <c r="N14" s="345"/>
      <c r="O14" s="345"/>
      <c r="P14" s="345"/>
      <c r="Q14" s="345"/>
      <c r="S14" s="36">
        <v>2013</v>
      </c>
      <c r="T14" s="36">
        <v>1065</v>
      </c>
      <c r="U14" s="36">
        <v>1070</v>
      </c>
      <c r="V14" s="36">
        <v>1075</v>
      </c>
      <c r="W14" s="36">
        <v>1085</v>
      </c>
      <c r="X14" s="36">
        <v>1105</v>
      </c>
      <c r="Y14" s="36">
        <v>1110</v>
      </c>
      <c r="Z14" s="36">
        <v>1130</v>
      </c>
      <c r="AA14" s="36">
        <v>1135</v>
      </c>
      <c r="AB14" s="36">
        <v>1150</v>
      </c>
      <c r="AC14" s="36">
        <v>1150</v>
      </c>
      <c r="AD14" s="36">
        <v>1.040724</v>
      </c>
    </row>
    <row r="15" spans="1:30" x14ac:dyDescent="0.25">
      <c r="A15" s="14" t="s">
        <v>53</v>
      </c>
      <c r="B15" s="98" t="s">
        <v>198</v>
      </c>
      <c r="C15" s="1"/>
      <c r="E15" s="26">
        <f t="shared" si="0"/>
        <v>2017</v>
      </c>
      <c r="F15" s="94" t="s">
        <v>137</v>
      </c>
      <c r="G15" s="94">
        <f>+G14+2</f>
        <v>20</v>
      </c>
      <c r="H15" s="101">
        <f t="shared" si="2"/>
        <v>14</v>
      </c>
      <c r="I15" s="101" t="s">
        <v>137</v>
      </c>
      <c r="J15" s="101" t="s">
        <v>137</v>
      </c>
      <c r="K15" s="95"/>
      <c r="L15" s="102">
        <f t="shared" si="1"/>
        <v>6</v>
      </c>
      <c r="M15" s="344"/>
      <c r="N15" s="345"/>
      <c r="O15" s="345"/>
      <c r="P15" s="345"/>
      <c r="Q15" s="345"/>
      <c r="S15" s="36">
        <v>2014</v>
      </c>
      <c r="T15" s="36">
        <v>1080</v>
      </c>
      <c r="U15" s="36">
        <v>1085</v>
      </c>
      <c r="V15" s="36">
        <v>1090</v>
      </c>
      <c r="W15" s="36">
        <v>1100</v>
      </c>
      <c r="X15" s="36">
        <v>1120</v>
      </c>
      <c r="Y15" s="36">
        <v>1125</v>
      </c>
      <c r="Z15" s="36">
        <v>1145</v>
      </c>
      <c r="AA15" s="36">
        <v>1150</v>
      </c>
      <c r="AB15" s="36">
        <v>1165</v>
      </c>
      <c r="AC15" s="36">
        <v>1170</v>
      </c>
      <c r="AD15" s="36">
        <v>1.040179</v>
      </c>
    </row>
    <row r="16" spans="1:30" x14ac:dyDescent="0.25">
      <c r="A16" s="81" t="s">
        <v>41</v>
      </c>
      <c r="B16" s="376" t="s">
        <v>247</v>
      </c>
      <c r="C16" s="1"/>
      <c r="E16" s="26">
        <f t="shared" si="0"/>
        <v>2018</v>
      </c>
      <c r="F16" s="94" t="s">
        <v>137</v>
      </c>
      <c r="G16" s="94">
        <f>+G15+2</f>
        <v>22</v>
      </c>
      <c r="H16" s="94">
        <f t="shared" si="2"/>
        <v>14</v>
      </c>
      <c r="I16" s="101" t="s">
        <v>137</v>
      </c>
      <c r="J16" s="101" t="s">
        <v>137</v>
      </c>
      <c r="K16" s="95"/>
      <c r="L16" s="102">
        <f t="shared" si="1"/>
        <v>8</v>
      </c>
      <c r="M16" s="344"/>
      <c r="N16" s="345"/>
      <c r="O16" s="345"/>
      <c r="P16" s="345"/>
      <c r="Q16" s="345"/>
      <c r="S16" s="36">
        <v>2015</v>
      </c>
      <c r="T16" s="36">
        <v>1095</v>
      </c>
      <c r="U16" s="36">
        <v>1100</v>
      </c>
      <c r="V16" s="36">
        <v>1105</v>
      </c>
      <c r="W16" s="36">
        <v>1115</v>
      </c>
      <c r="X16" s="36">
        <v>1135</v>
      </c>
      <c r="Y16" s="36">
        <v>1140</v>
      </c>
      <c r="Z16" s="36">
        <v>1160</v>
      </c>
      <c r="AA16" s="36">
        <v>1165</v>
      </c>
      <c r="AB16" s="36">
        <v>1170</v>
      </c>
      <c r="AC16" s="36">
        <v>1180</v>
      </c>
      <c r="AD16" s="36">
        <v>1.030837</v>
      </c>
    </row>
    <row r="17" spans="1:30" ht="84" customHeight="1" x14ac:dyDescent="0.25">
      <c r="A17" s="81" t="s">
        <v>7</v>
      </c>
      <c r="B17" s="377"/>
      <c r="C17" s="1" t="s">
        <v>21</v>
      </c>
      <c r="E17" s="26">
        <f t="shared" si="0"/>
        <v>2019</v>
      </c>
      <c r="F17" s="94" t="s">
        <v>137</v>
      </c>
      <c r="G17" s="94">
        <f>+G16+2</f>
        <v>24</v>
      </c>
      <c r="H17" s="94">
        <f t="shared" si="2"/>
        <v>14</v>
      </c>
      <c r="I17" s="101" t="s">
        <v>137</v>
      </c>
      <c r="J17" s="101" t="s">
        <v>137</v>
      </c>
      <c r="K17" s="95"/>
      <c r="L17" s="102">
        <f t="shared" si="1"/>
        <v>10</v>
      </c>
      <c r="M17" s="356"/>
      <c r="N17" s="357"/>
      <c r="O17" s="357"/>
      <c r="P17" s="357"/>
      <c r="Q17" s="357"/>
      <c r="S17" s="36">
        <v>2016</v>
      </c>
      <c r="T17" s="36">
        <v>1105</v>
      </c>
      <c r="U17" s="36">
        <v>1110</v>
      </c>
      <c r="V17" s="36">
        <v>1115</v>
      </c>
      <c r="W17" s="36">
        <v>1125</v>
      </c>
      <c r="X17" s="36">
        <v>1145</v>
      </c>
      <c r="Y17" s="36">
        <v>1150</v>
      </c>
      <c r="Z17" s="36">
        <v>1170</v>
      </c>
      <c r="AA17" s="36">
        <v>1175</v>
      </c>
      <c r="AB17" s="36">
        <v>1190</v>
      </c>
      <c r="AC17" s="36">
        <v>1195</v>
      </c>
      <c r="AD17" s="36">
        <v>1.039301</v>
      </c>
    </row>
    <row r="18" spans="1:30" ht="18.75" customHeight="1" x14ac:dyDescent="0.25">
      <c r="A18" s="81" t="s">
        <v>72</v>
      </c>
      <c r="B18" s="81" t="s">
        <v>134</v>
      </c>
      <c r="C18" s="1" t="s">
        <v>73</v>
      </c>
      <c r="E18" s="26">
        <f t="shared" si="0"/>
        <v>2020</v>
      </c>
      <c r="F18" s="94" t="s">
        <v>137</v>
      </c>
      <c r="G18" s="94">
        <v>24</v>
      </c>
      <c r="H18" s="94">
        <f t="shared" si="2"/>
        <v>14</v>
      </c>
      <c r="I18" s="101" t="s">
        <v>137</v>
      </c>
      <c r="J18" s="101" t="s">
        <v>137</v>
      </c>
      <c r="K18" s="95"/>
      <c r="L18" s="102">
        <f t="shared" si="1"/>
        <v>10</v>
      </c>
      <c r="M18" s="27" t="s">
        <v>89</v>
      </c>
      <c r="N18" s="28"/>
      <c r="O18" s="28"/>
      <c r="P18" s="28"/>
      <c r="Q18" s="29"/>
      <c r="S18" s="36">
        <v>2017</v>
      </c>
      <c r="T18" s="36">
        <v>1115</v>
      </c>
      <c r="U18" s="36">
        <v>1120</v>
      </c>
      <c r="V18" s="36">
        <v>1125</v>
      </c>
      <c r="W18" s="36">
        <v>1135</v>
      </c>
      <c r="X18" s="36">
        <v>1155</v>
      </c>
      <c r="Y18" s="36">
        <v>1160</v>
      </c>
      <c r="Z18" s="36">
        <v>1180</v>
      </c>
      <c r="AA18" s="36">
        <v>1185</v>
      </c>
      <c r="AB18" s="36">
        <v>1195</v>
      </c>
      <c r="AC18" s="36">
        <v>1205</v>
      </c>
      <c r="AD18" s="36">
        <v>1.034632</v>
      </c>
    </row>
    <row r="19" spans="1:30" ht="24.75" customHeight="1" x14ac:dyDescent="0.25">
      <c r="A19" s="81" t="s">
        <v>68</v>
      </c>
      <c r="B19" s="82" t="s">
        <v>134</v>
      </c>
      <c r="C19" s="1" t="s">
        <v>69</v>
      </c>
      <c r="E19" s="26">
        <f t="shared" si="0"/>
        <v>2021</v>
      </c>
      <c r="F19" s="94" t="s">
        <v>137</v>
      </c>
      <c r="G19" s="94">
        <v>24</v>
      </c>
      <c r="H19" s="94">
        <f t="shared" si="2"/>
        <v>14</v>
      </c>
      <c r="I19" s="101" t="s">
        <v>137</v>
      </c>
      <c r="J19" s="101" t="s">
        <v>137</v>
      </c>
      <c r="K19" s="95"/>
      <c r="L19" s="102">
        <f t="shared" si="1"/>
        <v>10</v>
      </c>
      <c r="M19" s="413" t="s">
        <v>134</v>
      </c>
      <c r="N19" s="414"/>
      <c r="O19" s="414"/>
      <c r="P19" s="414"/>
      <c r="Q19" s="415"/>
      <c r="S19" s="36">
        <v>2018</v>
      </c>
      <c r="T19" s="36">
        <v>1125</v>
      </c>
      <c r="U19" s="36">
        <v>1130</v>
      </c>
      <c r="V19" s="36">
        <v>1140</v>
      </c>
      <c r="W19" s="36">
        <v>1150</v>
      </c>
      <c r="X19" s="36">
        <v>1170</v>
      </c>
      <c r="Y19" s="36">
        <v>1175</v>
      </c>
      <c r="Z19" s="36">
        <v>1195</v>
      </c>
      <c r="AA19" s="36">
        <v>1200</v>
      </c>
      <c r="AB19" s="36">
        <v>1215</v>
      </c>
      <c r="AC19" s="36">
        <v>1215</v>
      </c>
      <c r="AD19" s="36">
        <v>1.038462</v>
      </c>
    </row>
    <row r="20" spans="1:30" x14ac:dyDescent="0.25">
      <c r="A20" s="81" t="s">
        <v>67</v>
      </c>
      <c r="B20" s="81" t="s">
        <v>248</v>
      </c>
      <c r="C20" s="1" t="s">
        <v>70</v>
      </c>
      <c r="E20" s="26">
        <f t="shared" si="0"/>
        <v>2022</v>
      </c>
      <c r="F20" s="94" t="s">
        <v>137</v>
      </c>
      <c r="G20" s="94">
        <v>24</v>
      </c>
      <c r="H20" s="94">
        <f t="shared" si="2"/>
        <v>14</v>
      </c>
      <c r="I20" s="101" t="s">
        <v>137</v>
      </c>
      <c r="J20" s="101" t="s">
        <v>137</v>
      </c>
      <c r="K20" s="95"/>
      <c r="L20" s="102">
        <f t="shared" si="1"/>
        <v>10</v>
      </c>
      <c r="M20" s="416"/>
      <c r="N20" s="417"/>
      <c r="O20" s="417"/>
      <c r="P20" s="417"/>
      <c r="Q20" s="418"/>
      <c r="S20" s="36">
        <v>2019</v>
      </c>
      <c r="T20" s="36">
        <v>1135</v>
      </c>
      <c r="U20" s="36">
        <v>1140</v>
      </c>
      <c r="V20" s="36">
        <v>1150</v>
      </c>
      <c r="W20" s="36">
        <v>1160</v>
      </c>
      <c r="X20" s="36">
        <v>1180</v>
      </c>
      <c r="Y20" s="36">
        <v>1185</v>
      </c>
      <c r="Z20" s="36">
        <v>1205</v>
      </c>
      <c r="AA20" s="36">
        <v>1210</v>
      </c>
      <c r="AB20" s="36">
        <v>1225</v>
      </c>
      <c r="AC20" s="36">
        <v>1230</v>
      </c>
      <c r="AD20" s="36">
        <v>1.0381359999999999</v>
      </c>
    </row>
    <row r="21" spans="1:30" ht="42.75" customHeight="1" x14ac:dyDescent="0.25">
      <c r="A21" s="64" t="s">
        <v>98</v>
      </c>
      <c r="B21" s="90" t="s">
        <v>246</v>
      </c>
      <c r="C21" s="1" t="s">
        <v>58</v>
      </c>
      <c r="E21" s="26">
        <f t="shared" si="0"/>
        <v>2023</v>
      </c>
      <c r="F21" s="94" t="s">
        <v>137</v>
      </c>
      <c r="G21" s="94">
        <v>24</v>
      </c>
      <c r="H21" s="94">
        <f t="shared" si="2"/>
        <v>14</v>
      </c>
      <c r="I21" s="101" t="s">
        <v>137</v>
      </c>
      <c r="J21" s="101" t="s">
        <v>137</v>
      </c>
      <c r="K21" s="94" t="s">
        <v>134</v>
      </c>
      <c r="L21" s="102">
        <f t="shared" si="1"/>
        <v>10</v>
      </c>
      <c r="M21" s="419"/>
      <c r="N21" s="420"/>
      <c r="O21" s="420"/>
      <c r="P21" s="420"/>
      <c r="Q21" s="421"/>
      <c r="S21" s="36">
        <v>2020</v>
      </c>
      <c r="T21" s="36">
        <v>1145</v>
      </c>
      <c r="U21" s="36">
        <v>1150</v>
      </c>
      <c r="V21" s="36">
        <v>1155</v>
      </c>
      <c r="W21" s="36">
        <v>1170</v>
      </c>
      <c r="X21" s="36">
        <v>1190</v>
      </c>
      <c r="Y21" s="36">
        <v>1195</v>
      </c>
      <c r="Z21" s="36">
        <v>1215</v>
      </c>
      <c r="AA21" s="36">
        <v>1225</v>
      </c>
      <c r="AB21" s="36">
        <v>1235</v>
      </c>
      <c r="AC21" s="36">
        <v>1240</v>
      </c>
      <c r="AD21" s="36">
        <v>1.0378149999999999</v>
      </c>
    </row>
    <row r="22" spans="1:30" x14ac:dyDescent="0.25">
      <c r="A22" s="64" t="s">
        <v>5</v>
      </c>
      <c r="B22" s="91">
        <v>2000000</v>
      </c>
      <c r="C22" s="1" t="s">
        <v>6</v>
      </c>
      <c r="E22" s="26">
        <f t="shared" si="0"/>
        <v>2024</v>
      </c>
      <c r="F22" s="94" t="s">
        <v>137</v>
      </c>
      <c r="G22" s="94">
        <v>24</v>
      </c>
      <c r="H22" s="94">
        <f t="shared" si="2"/>
        <v>14</v>
      </c>
      <c r="I22" s="101" t="s">
        <v>137</v>
      </c>
      <c r="J22" s="101" t="s">
        <v>137</v>
      </c>
      <c r="K22" s="94" t="s">
        <v>134</v>
      </c>
      <c r="L22" s="102">
        <f t="shared" si="1"/>
        <v>10</v>
      </c>
      <c r="S22" s="36" t="s">
        <v>78</v>
      </c>
      <c r="T22" s="36"/>
      <c r="U22" s="36"/>
      <c r="V22" s="36"/>
      <c r="W22" s="36"/>
      <c r="X22" s="36"/>
      <c r="Y22" s="36"/>
      <c r="Z22" s="36"/>
      <c r="AA22" s="36"/>
      <c r="AB22" s="36"/>
      <c r="AC22" s="36"/>
      <c r="AD22" s="36"/>
    </row>
    <row r="23" spans="1:30" ht="49.5" customHeight="1" x14ac:dyDescent="0.25">
      <c r="A23" s="64" t="s">
        <v>55</v>
      </c>
      <c r="B23" s="92" t="s">
        <v>191</v>
      </c>
      <c r="C23" s="1" t="s">
        <v>54</v>
      </c>
      <c r="E23" s="26">
        <f t="shared" si="0"/>
        <v>2025</v>
      </c>
      <c r="F23" s="94" t="s">
        <v>137</v>
      </c>
      <c r="G23" s="94">
        <v>24</v>
      </c>
      <c r="H23" s="94">
        <f t="shared" si="2"/>
        <v>14</v>
      </c>
      <c r="I23" s="101" t="s">
        <v>137</v>
      </c>
      <c r="J23" s="101" t="s">
        <v>137</v>
      </c>
      <c r="K23" s="94"/>
      <c r="L23" s="102">
        <f t="shared" si="1"/>
        <v>10</v>
      </c>
      <c r="M23" s="344" t="s">
        <v>96</v>
      </c>
      <c r="N23" s="345"/>
      <c r="O23" s="345"/>
      <c r="P23" s="345"/>
      <c r="Q23" s="345"/>
      <c r="S23" s="36" t="s">
        <v>79</v>
      </c>
      <c r="T23" s="36">
        <v>1030</v>
      </c>
      <c r="U23" s="36">
        <v>1035</v>
      </c>
      <c r="V23" s="36">
        <v>1035</v>
      </c>
      <c r="W23" s="36">
        <v>1035</v>
      </c>
      <c r="X23" s="36">
        <v>1045</v>
      </c>
      <c r="Y23" s="36">
        <v>1050</v>
      </c>
      <c r="Z23" s="36">
        <v>1055</v>
      </c>
      <c r="AA23" s="36">
        <v>1055</v>
      </c>
      <c r="AB23" s="36">
        <v>1060</v>
      </c>
      <c r="AC23" s="36">
        <v>1070</v>
      </c>
      <c r="AD23" s="36">
        <v>1.014354</v>
      </c>
    </row>
    <row r="24" spans="1:30" ht="41.25" customHeight="1" x14ac:dyDescent="0.25">
      <c r="A24" s="64" t="s">
        <v>56</v>
      </c>
      <c r="B24" s="91">
        <f>+B22/6</f>
        <v>333333.33333333331</v>
      </c>
      <c r="C24" s="1" t="s">
        <v>57</v>
      </c>
      <c r="E24" s="26">
        <f t="shared" si="0"/>
        <v>2026</v>
      </c>
      <c r="F24" s="94"/>
      <c r="G24" s="94"/>
      <c r="H24" s="94"/>
      <c r="I24" s="94"/>
      <c r="J24" s="94"/>
      <c r="K24" s="94"/>
      <c r="L24" s="97"/>
      <c r="M24" s="344"/>
      <c r="N24" s="345"/>
      <c r="O24" s="345"/>
      <c r="P24" s="345"/>
      <c r="Q24" s="345"/>
      <c r="S24" s="36" t="s">
        <v>80</v>
      </c>
      <c r="T24" s="36">
        <v>1040</v>
      </c>
      <c r="U24" s="36">
        <v>1045</v>
      </c>
      <c r="V24" s="36">
        <v>1045</v>
      </c>
      <c r="W24" s="36">
        <v>1045</v>
      </c>
      <c r="X24" s="36">
        <v>1055</v>
      </c>
      <c r="Y24" s="36">
        <v>1060</v>
      </c>
      <c r="Z24" s="36">
        <v>1065</v>
      </c>
      <c r="AA24" s="36">
        <v>1065</v>
      </c>
      <c r="AB24" s="36">
        <v>1070</v>
      </c>
      <c r="AC24" s="36">
        <v>1080</v>
      </c>
      <c r="AD24" s="36">
        <v>1.0142180000000001</v>
      </c>
    </row>
    <row r="25" spans="1:30" x14ac:dyDescent="0.25">
      <c r="A25" s="12"/>
      <c r="B25" s="13"/>
      <c r="C25" s="1"/>
      <c r="E25" s="26">
        <f t="shared" si="0"/>
        <v>2027</v>
      </c>
      <c r="F25" s="94"/>
      <c r="G25" s="94"/>
      <c r="H25" s="94"/>
      <c r="I25" s="94"/>
      <c r="J25" s="94"/>
      <c r="K25" s="94"/>
      <c r="L25" s="97"/>
      <c r="M25" s="344"/>
      <c r="N25" s="345"/>
      <c r="O25" s="345"/>
      <c r="P25" s="345"/>
      <c r="Q25" s="345"/>
      <c r="S25" s="36" t="s">
        <v>81</v>
      </c>
      <c r="T25" s="36">
        <v>1050</v>
      </c>
      <c r="U25" s="36">
        <v>1055</v>
      </c>
      <c r="V25" s="36">
        <v>1055</v>
      </c>
      <c r="W25" s="36">
        <v>1055</v>
      </c>
      <c r="X25" s="36">
        <v>1065</v>
      </c>
      <c r="Y25" s="36">
        <v>1070</v>
      </c>
      <c r="Z25" s="36">
        <v>1075</v>
      </c>
      <c r="AA25" s="36">
        <v>1075</v>
      </c>
      <c r="AB25" s="36">
        <v>1080</v>
      </c>
      <c r="AC25" s="36">
        <v>1095</v>
      </c>
      <c r="AD25" s="36">
        <v>1.0140849999999999</v>
      </c>
    </row>
    <row r="26" spans="1:30" x14ac:dyDescent="0.25">
      <c r="A26" s="346" t="s">
        <v>71</v>
      </c>
      <c r="B26" s="346"/>
      <c r="C26" s="1"/>
      <c r="E26" s="26">
        <f t="shared" si="0"/>
        <v>2028</v>
      </c>
      <c r="F26" s="94"/>
      <c r="G26" s="94"/>
      <c r="H26" s="94"/>
      <c r="I26" s="94"/>
      <c r="J26" s="94"/>
      <c r="K26" s="94"/>
      <c r="L26" s="97"/>
      <c r="S26" s="36" t="s">
        <v>82</v>
      </c>
      <c r="T26" s="36">
        <v>1055</v>
      </c>
      <c r="U26" s="36">
        <v>1060</v>
      </c>
      <c r="V26" s="36">
        <v>1060</v>
      </c>
      <c r="W26" s="36">
        <v>1060</v>
      </c>
      <c r="X26" s="36">
        <v>1070</v>
      </c>
      <c r="Y26" s="36">
        <v>1075</v>
      </c>
      <c r="Z26" s="36">
        <v>1080</v>
      </c>
      <c r="AA26" s="36">
        <v>1080</v>
      </c>
      <c r="AB26" s="36">
        <v>1085</v>
      </c>
      <c r="AC26" s="36">
        <v>1095</v>
      </c>
      <c r="AD26" s="36">
        <v>1.014019</v>
      </c>
    </row>
    <row r="27" spans="1:30" x14ac:dyDescent="0.25">
      <c r="A27" s="3" t="s">
        <v>28</v>
      </c>
      <c r="B27" s="3"/>
      <c r="C27" s="1"/>
      <c r="E27" s="26">
        <f t="shared" si="0"/>
        <v>2029</v>
      </c>
      <c r="F27" s="94"/>
      <c r="G27" s="94"/>
      <c r="H27" s="94"/>
      <c r="I27" s="94"/>
      <c r="J27" s="94"/>
      <c r="K27" s="94"/>
      <c r="L27" s="97"/>
      <c r="S27" s="36" t="s">
        <v>83</v>
      </c>
      <c r="T27" s="36">
        <v>1060</v>
      </c>
      <c r="U27" s="36">
        <v>1065</v>
      </c>
      <c r="V27" s="36">
        <v>1065</v>
      </c>
      <c r="W27" s="36">
        <v>1065</v>
      </c>
      <c r="X27" s="36">
        <v>1075</v>
      </c>
      <c r="Y27" s="36">
        <v>1080</v>
      </c>
      <c r="Z27" s="36">
        <v>1085</v>
      </c>
      <c r="AA27" s="36">
        <v>1085</v>
      </c>
      <c r="AB27" s="36">
        <v>1090</v>
      </c>
      <c r="AC27" s="36">
        <v>1110</v>
      </c>
      <c r="AD27" s="36">
        <v>1.0139530000000001</v>
      </c>
    </row>
    <row r="28" spans="1:30" x14ac:dyDescent="0.25">
      <c r="A28" s="3" t="s">
        <v>29</v>
      </c>
      <c r="B28" s="3"/>
      <c r="C28" s="1"/>
      <c r="E28" s="26">
        <f t="shared" si="0"/>
        <v>2030</v>
      </c>
      <c r="F28" s="94"/>
      <c r="G28" s="94"/>
      <c r="H28" s="94"/>
      <c r="I28" s="94"/>
      <c r="J28" s="94"/>
      <c r="K28" s="94"/>
      <c r="L28" s="97"/>
      <c r="S28" s="36" t="s">
        <v>84</v>
      </c>
      <c r="T28" s="36">
        <v>1065</v>
      </c>
      <c r="U28" s="36">
        <v>1070</v>
      </c>
      <c r="V28" s="36">
        <v>1070</v>
      </c>
      <c r="W28" s="36">
        <v>1070</v>
      </c>
      <c r="X28" s="36">
        <v>1080</v>
      </c>
      <c r="Y28" s="36">
        <v>1085</v>
      </c>
      <c r="Z28" s="36">
        <v>1090</v>
      </c>
      <c r="AA28" s="36">
        <v>1090</v>
      </c>
      <c r="AB28" s="36">
        <v>1100</v>
      </c>
      <c r="AC28" s="36">
        <v>1110</v>
      </c>
      <c r="AD28" s="36">
        <v>1.018519</v>
      </c>
    </row>
    <row r="29" spans="1:30" ht="33" customHeight="1" x14ac:dyDescent="0.25">
      <c r="A29" s="3" t="s">
        <v>30</v>
      </c>
      <c r="B29" s="17" t="s">
        <v>134</v>
      </c>
      <c r="C29" s="1" t="s">
        <v>43</v>
      </c>
      <c r="E29" s="26">
        <f t="shared" si="0"/>
        <v>2031</v>
      </c>
      <c r="F29" s="94"/>
      <c r="G29" s="94"/>
      <c r="H29" s="94"/>
      <c r="I29" s="94"/>
      <c r="J29" s="94"/>
      <c r="K29" s="94"/>
      <c r="L29" s="97"/>
      <c r="S29" s="36" t="s">
        <v>85</v>
      </c>
      <c r="T29" s="36">
        <v>1075</v>
      </c>
      <c r="U29" s="36">
        <v>1080</v>
      </c>
      <c r="V29" s="36">
        <v>1080</v>
      </c>
      <c r="W29" s="36">
        <v>1080</v>
      </c>
      <c r="X29" s="36">
        <v>1090</v>
      </c>
      <c r="Y29" s="36">
        <v>1095</v>
      </c>
      <c r="Z29" s="36">
        <v>1100</v>
      </c>
      <c r="AA29" s="36">
        <v>1100</v>
      </c>
      <c r="AB29" s="36">
        <v>1105</v>
      </c>
      <c r="AC29" s="36">
        <v>1120</v>
      </c>
      <c r="AD29" s="36">
        <v>1.0137609999999999</v>
      </c>
    </row>
    <row r="30" spans="1:30" x14ac:dyDescent="0.25">
      <c r="A30" s="3" t="s">
        <v>44</v>
      </c>
      <c r="B30" s="3" t="s">
        <v>105</v>
      </c>
      <c r="C30" s="1"/>
      <c r="E30" s="26">
        <f t="shared" si="0"/>
        <v>2032</v>
      </c>
      <c r="F30" s="94"/>
      <c r="G30" s="94"/>
      <c r="H30" s="94"/>
      <c r="I30" s="94"/>
      <c r="J30" s="94"/>
      <c r="K30" s="94"/>
      <c r="L30" s="97"/>
      <c r="S30" s="36" t="s">
        <v>86</v>
      </c>
      <c r="T30" s="36">
        <v>1080</v>
      </c>
      <c r="U30" s="36">
        <v>1085</v>
      </c>
      <c r="V30" s="36">
        <v>1085</v>
      </c>
      <c r="W30" s="36">
        <v>1085</v>
      </c>
      <c r="X30" s="36">
        <v>1095</v>
      </c>
      <c r="Y30" s="36">
        <v>1100</v>
      </c>
      <c r="Z30" s="36">
        <v>1105</v>
      </c>
      <c r="AA30" s="36">
        <v>1105</v>
      </c>
      <c r="AB30" s="36">
        <v>1110</v>
      </c>
      <c r="AC30" s="36">
        <v>1120</v>
      </c>
      <c r="AD30" s="36">
        <v>1.0136989999999999</v>
      </c>
    </row>
    <row r="31" spans="1:30" x14ac:dyDescent="0.25">
      <c r="A31" s="3" t="s">
        <v>47</v>
      </c>
      <c r="B31" s="3" t="s">
        <v>105</v>
      </c>
      <c r="C31" s="1"/>
      <c r="E31" s="26">
        <f t="shared" si="0"/>
        <v>2033</v>
      </c>
      <c r="F31" s="94"/>
      <c r="G31" s="94"/>
      <c r="H31" s="94"/>
      <c r="I31" s="94"/>
      <c r="J31" s="94"/>
      <c r="K31" s="94"/>
      <c r="L31" s="97"/>
      <c r="S31" s="36" t="s">
        <v>87</v>
      </c>
      <c r="T31" s="36">
        <v>1085</v>
      </c>
      <c r="U31" s="36">
        <v>1090</v>
      </c>
      <c r="V31" s="36">
        <v>1090</v>
      </c>
      <c r="W31" s="36">
        <v>1090</v>
      </c>
      <c r="X31" s="36">
        <v>1100</v>
      </c>
      <c r="Y31" s="36">
        <v>1105</v>
      </c>
      <c r="Z31" s="36">
        <v>1110</v>
      </c>
      <c r="AA31" s="36">
        <v>1110</v>
      </c>
      <c r="AB31" s="36">
        <v>1115</v>
      </c>
      <c r="AC31" s="36">
        <v>1125</v>
      </c>
      <c r="AD31" s="36">
        <v>1.013636</v>
      </c>
    </row>
    <row r="32" spans="1:30" x14ac:dyDescent="0.25">
      <c r="A32" s="3" t="s">
        <v>45</v>
      </c>
      <c r="B32" s="3"/>
      <c r="C32" s="1"/>
      <c r="E32" s="20"/>
      <c r="F32" s="20"/>
      <c r="G32" s="20"/>
      <c r="H32" s="20"/>
      <c r="I32" s="20"/>
      <c r="J32" s="20"/>
      <c r="K32" s="20"/>
      <c r="S32" s="36" t="s">
        <v>88</v>
      </c>
      <c r="T32" s="36">
        <v>1090</v>
      </c>
      <c r="U32" s="36">
        <v>1095</v>
      </c>
      <c r="V32" s="36">
        <v>1095</v>
      </c>
      <c r="W32" s="36">
        <v>1095</v>
      </c>
      <c r="X32" s="36">
        <v>1105</v>
      </c>
      <c r="Y32" s="36">
        <v>1110</v>
      </c>
      <c r="Z32" s="36">
        <v>1115</v>
      </c>
      <c r="AA32" s="36">
        <v>1115</v>
      </c>
      <c r="AB32" s="36">
        <v>1120</v>
      </c>
      <c r="AC32" s="36">
        <v>1130</v>
      </c>
      <c r="AD32" s="36">
        <v>1.0135749999999999</v>
      </c>
    </row>
    <row r="33" spans="1:11" x14ac:dyDescent="0.25">
      <c r="A33" s="3" t="s">
        <v>46</v>
      </c>
      <c r="B33" s="3"/>
      <c r="C33" s="1"/>
      <c r="E33" s="20"/>
      <c r="F33" s="20"/>
      <c r="G33" s="20"/>
      <c r="H33" s="20"/>
      <c r="I33" s="20"/>
      <c r="J33" s="20"/>
      <c r="K33" s="20"/>
    </row>
    <row r="34" spans="1:11" x14ac:dyDescent="0.25">
      <c r="A34" s="84"/>
      <c r="C34" s="1"/>
      <c r="E34" s="20"/>
      <c r="F34" s="20"/>
      <c r="G34" s="20"/>
      <c r="H34" s="20"/>
      <c r="I34" s="20"/>
      <c r="J34" s="20"/>
      <c r="K34" s="20"/>
    </row>
    <row r="35" spans="1:11" x14ac:dyDescent="0.25">
      <c r="C35" s="1"/>
      <c r="E35" s="20"/>
      <c r="F35" s="20"/>
      <c r="G35" s="20"/>
      <c r="H35" s="20"/>
      <c r="I35" s="20"/>
      <c r="J35" s="20"/>
      <c r="K35" s="20"/>
    </row>
    <row r="36" spans="1:11" x14ac:dyDescent="0.25">
      <c r="C36" s="1"/>
      <c r="G36" s="20"/>
      <c r="H36" s="20"/>
      <c r="I36" s="20"/>
      <c r="J36" s="20"/>
      <c r="K36" s="20"/>
    </row>
    <row r="37" spans="1:11" x14ac:dyDescent="0.25">
      <c r="C37" s="1"/>
      <c r="G37" s="20"/>
      <c r="H37" s="20"/>
      <c r="I37" s="20"/>
      <c r="J37" s="20"/>
      <c r="K37" s="20"/>
    </row>
    <row r="38" spans="1:11" x14ac:dyDescent="0.25">
      <c r="A38" t="s">
        <v>134</v>
      </c>
      <c r="C38" s="1"/>
      <c r="G38" s="20"/>
      <c r="H38" s="20"/>
      <c r="I38" s="20"/>
      <c r="J38" s="20"/>
      <c r="K38" s="20"/>
    </row>
    <row r="39" spans="1:11" x14ac:dyDescent="0.25">
      <c r="C39" s="1"/>
      <c r="G39" s="20"/>
      <c r="H39" s="20"/>
      <c r="I39" s="20"/>
      <c r="J39" s="20"/>
      <c r="K39" s="20"/>
    </row>
  </sheetData>
  <mergeCells count="10">
    <mergeCell ref="D1:L1"/>
    <mergeCell ref="M19:Q21"/>
    <mergeCell ref="M23:Q25"/>
    <mergeCell ref="A26:B26"/>
    <mergeCell ref="A6:B6"/>
    <mergeCell ref="E9:L9"/>
    <mergeCell ref="E10:I10"/>
    <mergeCell ref="M11:Q12"/>
    <mergeCell ref="M13:Q17"/>
    <mergeCell ref="B16:B1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81" customHeight="1" x14ac:dyDescent="0.3">
      <c r="A1" s="114" t="s">
        <v>502</v>
      </c>
      <c r="B1" s="173" t="s">
        <v>134</v>
      </c>
      <c r="C1" s="347" t="s">
        <v>503</v>
      </c>
      <c r="D1" s="348"/>
      <c r="E1" s="348"/>
      <c r="F1" s="348"/>
      <c r="G1" s="349"/>
    </row>
    <row r="2" spans="1:27" x14ac:dyDescent="0.25">
      <c r="A2" s="58" t="s">
        <v>460</v>
      </c>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3" t="str">
        <f>+A1</f>
        <v>Line 44-West Rutland to Castleton 46 KV</v>
      </c>
    </row>
    <row r="8" spans="1:27" ht="107.25" customHeight="1" x14ac:dyDescent="0.25">
      <c r="A8" s="3" t="s">
        <v>2</v>
      </c>
      <c r="B8" s="175" t="s">
        <v>500</v>
      </c>
      <c r="E8" s="352" t="s">
        <v>100</v>
      </c>
      <c r="F8" s="352"/>
      <c r="G8" s="352"/>
      <c r="H8" s="352"/>
      <c r="I8" s="352"/>
    </row>
    <row r="9" spans="1:27" ht="15.75" thickBot="1" x14ac:dyDescent="0.3">
      <c r="A9" s="3" t="s">
        <v>1</v>
      </c>
      <c r="B9" s="3"/>
      <c r="C9" s="1" t="s">
        <v>48</v>
      </c>
      <c r="E9" s="353" t="s">
        <v>53</v>
      </c>
      <c r="F9" s="354"/>
      <c r="G9" s="354"/>
      <c r="H9" s="355"/>
      <c r="I9" s="3" t="str">
        <f>B14</f>
        <v xml:space="preserve">20.2 MVA (Rating 2/0 ACSR) </v>
      </c>
      <c r="J9" t="s">
        <v>74</v>
      </c>
      <c r="P9" s="36" t="s">
        <v>76</v>
      </c>
      <c r="Q9" s="36"/>
      <c r="R9" s="36"/>
      <c r="S9" s="36"/>
      <c r="T9" s="36"/>
      <c r="U9" s="36"/>
      <c r="V9" s="36"/>
      <c r="W9" s="36"/>
      <c r="X9" s="36"/>
      <c r="Y9" s="36"/>
      <c r="Z9" s="36"/>
      <c r="AA9" s="36"/>
    </row>
    <row r="10" spans="1:27" ht="48" customHeight="1" thickBot="1" x14ac:dyDescent="0.3">
      <c r="A10" s="3" t="s">
        <v>4</v>
      </c>
      <c r="B10" s="3" t="s">
        <v>102</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383</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t="s">
        <v>501</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76"/>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127.5" customHeight="1" x14ac:dyDescent="0.25">
      <c r="A16" s="80" t="s">
        <v>7</v>
      </c>
      <c r="B16" s="382"/>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499</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90" t="s">
        <v>488</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t="s">
        <v>290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t="e">
        <f>+B21/6</f>
        <v>#VALUE!</v>
      </c>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x14ac:dyDescent="0.25">
      <c r="A33" s="84"/>
    </row>
    <row r="34" spans="1:2" x14ac:dyDescent="0.25">
      <c r="B34" s="58" t="s">
        <v>412</v>
      </c>
    </row>
    <row r="35" spans="1:2" x14ac:dyDescent="0.25">
      <c r="A35" s="58">
        <v>1.0152000000000001</v>
      </c>
      <c r="B35" s="58" t="s">
        <v>411</v>
      </c>
    </row>
    <row r="36" spans="1:2" x14ac:dyDescent="0.25">
      <c r="A36" s="58"/>
      <c r="B36" s="58"/>
    </row>
    <row r="37" spans="1:2" x14ac:dyDescent="0.25">
      <c r="A37" s="58">
        <v>2012</v>
      </c>
      <c r="B37" s="152">
        <v>2500000</v>
      </c>
    </row>
    <row r="38" spans="1:2" x14ac:dyDescent="0.25">
      <c r="A38" s="58">
        <v>2013</v>
      </c>
      <c r="B38" s="152">
        <v>2538000</v>
      </c>
    </row>
    <row r="39" spans="1:2" x14ac:dyDescent="0.25">
      <c r="A39" s="58">
        <v>2014</v>
      </c>
      <c r="B39" s="152">
        <v>2576578</v>
      </c>
    </row>
    <row r="40" spans="1:2" x14ac:dyDescent="0.25">
      <c r="A40" s="58">
        <v>2015</v>
      </c>
      <c r="B40" s="152">
        <v>2615742</v>
      </c>
    </row>
    <row r="41" spans="1:2" x14ac:dyDescent="0.25">
      <c r="A41" s="58">
        <v>2016</v>
      </c>
      <c r="B41" s="152">
        <v>2655501</v>
      </c>
    </row>
    <row r="42" spans="1:2" x14ac:dyDescent="0.25">
      <c r="A42" s="58">
        <v>2017</v>
      </c>
      <c r="B42" s="152">
        <v>2695864</v>
      </c>
    </row>
    <row r="56" customFormat="1" x14ac:dyDescent="0.25"/>
    <row r="57" customFormat="1" x14ac:dyDescent="0.25"/>
  </sheetData>
  <mergeCells count="10">
    <mergeCell ref="J18:N20"/>
    <mergeCell ref="J22:N24"/>
    <mergeCell ref="A25:B25"/>
    <mergeCell ref="C1:G1"/>
    <mergeCell ref="A6:B6"/>
    <mergeCell ref="E8:I8"/>
    <mergeCell ref="E9:H9"/>
    <mergeCell ref="J10:N11"/>
    <mergeCell ref="J12:N16"/>
    <mergeCell ref="B15:B16"/>
  </mergeCells>
  <pageMargins left="0.7" right="0.7" top="0.75" bottom="0.75" header="0.3" footer="0.3"/>
  <pageSetup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763</v>
      </c>
      <c r="B1" s="45"/>
      <c r="D1" s="347" t="s">
        <v>751</v>
      </c>
      <c r="E1" s="348"/>
      <c r="F1" s="348"/>
      <c r="G1" s="348"/>
      <c r="H1" s="349"/>
    </row>
    <row r="2" spans="1:27" x14ac:dyDescent="0.25">
      <c r="A2" s="259"/>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758</v>
      </c>
    </row>
    <row r="8" spans="1:27" ht="295.89999999999998" customHeight="1" x14ac:dyDescent="0.25">
      <c r="A8" s="3" t="s">
        <v>2</v>
      </c>
      <c r="B8" s="223" t="s">
        <v>761</v>
      </c>
      <c r="E8" s="352" t="s">
        <v>100</v>
      </c>
      <c r="F8" s="352"/>
      <c r="G8" s="352"/>
      <c r="H8" s="352"/>
      <c r="I8" s="352"/>
    </row>
    <row r="9" spans="1:27" ht="196.15" customHeight="1" x14ac:dyDescent="0.25">
      <c r="A9" s="3" t="s">
        <v>238</v>
      </c>
      <c r="B9" s="180" t="s">
        <v>762</v>
      </c>
      <c r="E9" s="176"/>
      <c r="F9" s="176"/>
      <c r="G9" s="176"/>
      <c r="H9" s="176"/>
      <c r="I9" s="176"/>
    </row>
    <row r="10" spans="1:27" ht="15.75" thickBot="1" x14ac:dyDescent="0.3">
      <c r="A10" s="3" t="s">
        <v>1</v>
      </c>
      <c r="B10" s="3" t="s">
        <v>134</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703</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517</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v>638691</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652</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3.140625" style="121" customWidth="1"/>
  </cols>
  <sheetData>
    <row r="1" spans="1:27" ht="61.9" customHeight="1" x14ac:dyDescent="0.3">
      <c r="A1" s="114" t="s">
        <v>727</v>
      </c>
      <c r="B1" s="45"/>
      <c r="D1" s="347" t="s">
        <v>705</v>
      </c>
      <c r="E1" s="348"/>
      <c r="F1" s="348"/>
      <c r="G1" s="348"/>
      <c r="H1" s="349"/>
    </row>
    <row r="2" spans="1:27" x14ac:dyDescent="0.25">
      <c r="A2" s="58" t="s">
        <v>700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701</v>
      </c>
    </row>
    <row r="8" spans="1:27" ht="312" customHeight="1" x14ac:dyDescent="0.25">
      <c r="A8" s="3" t="s">
        <v>2</v>
      </c>
      <c r="B8" s="157" t="s">
        <v>709</v>
      </c>
    </row>
    <row r="9" spans="1:27" ht="128.25" customHeight="1" x14ac:dyDescent="0.25">
      <c r="A9" s="3" t="s">
        <v>238</v>
      </c>
      <c r="B9" s="157" t="s">
        <v>702</v>
      </c>
      <c r="E9" s="352" t="s">
        <v>100</v>
      </c>
      <c r="F9" s="352"/>
      <c r="G9" s="352"/>
      <c r="H9" s="352"/>
      <c r="I9" s="352"/>
    </row>
    <row r="10" spans="1:27" ht="15.75" thickBot="1" x14ac:dyDescent="0.3">
      <c r="A10" s="3" t="s">
        <v>1</v>
      </c>
      <c r="B10" s="3" t="s">
        <v>245</v>
      </c>
      <c r="C10" s="1" t="s">
        <v>48</v>
      </c>
      <c r="E10" s="353" t="s">
        <v>53</v>
      </c>
      <c r="F10" s="354"/>
      <c r="G10" s="354"/>
      <c r="H10" s="355"/>
      <c r="I10" s="3">
        <f>B15</f>
        <v>0</v>
      </c>
      <c r="J10" t="s">
        <v>74</v>
      </c>
      <c r="P10" s="36" t="s">
        <v>76</v>
      </c>
      <c r="Q10" s="36"/>
      <c r="R10" s="36"/>
      <c r="S10" s="36"/>
      <c r="T10" s="36"/>
      <c r="U10" s="36"/>
      <c r="V10" s="36"/>
      <c r="W10" s="36"/>
      <c r="X10" s="36"/>
      <c r="Y10" s="36"/>
      <c r="Z10" s="36"/>
      <c r="AA10" s="36"/>
    </row>
    <row r="11" spans="1:27" ht="48" customHeight="1" thickBot="1" x14ac:dyDescent="0.3">
      <c r="A11" s="3" t="s">
        <v>4</v>
      </c>
      <c r="B11" s="3" t="s">
        <v>703</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1" t="s">
        <v>41</v>
      </c>
      <c r="B16" s="381" t="s">
        <v>704</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1" t="s">
        <v>7</v>
      </c>
      <c r="B17" s="382"/>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90">
        <v>2020</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8" customHeight="1" x14ac:dyDescent="0.25">
      <c r="A34" s="84"/>
    </row>
    <row r="57" spans="3:8" x14ac:dyDescent="0.25">
      <c r="C57"/>
      <c r="E57"/>
      <c r="F57"/>
      <c r="G57"/>
      <c r="H57"/>
    </row>
    <row r="58" spans="3:8" x14ac:dyDescent="0.25">
      <c r="C58"/>
      <c r="E58"/>
      <c r="F58"/>
      <c r="G58"/>
      <c r="H58"/>
    </row>
  </sheetData>
  <mergeCells count="10">
    <mergeCell ref="D1:H1"/>
    <mergeCell ref="J19:N21"/>
    <mergeCell ref="J23:N25"/>
    <mergeCell ref="A26:B26"/>
    <mergeCell ref="A6:B6"/>
    <mergeCell ref="E9:I9"/>
    <mergeCell ref="E10:H10"/>
    <mergeCell ref="J11:N12"/>
    <mergeCell ref="J13:N17"/>
    <mergeCell ref="B16:B17"/>
  </mergeCells>
  <pageMargins left="0.7" right="0.7" top="0.75" bottom="0.75" header="0.3" footer="0.3"/>
  <pageSetup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A57"/>
  <sheetViews>
    <sheetView zoomScale="80" zoomScaleNormal="80" workbookViewId="0"/>
  </sheetViews>
  <sheetFormatPr defaultRowHeight="15" x14ac:dyDescent="0.25"/>
  <cols>
    <col min="1" max="1" width="63.7109375" customWidth="1"/>
    <col min="2" max="2" width="105.1406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0.7109375" style="121" customWidth="1"/>
  </cols>
  <sheetData>
    <row r="1" spans="1:27" ht="94.5" customHeight="1" x14ac:dyDescent="0.3">
      <c r="A1" s="114" t="s">
        <v>729</v>
      </c>
      <c r="B1" s="45"/>
      <c r="D1" s="347" t="s">
        <v>476</v>
      </c>
      <c r="E1" s="348"/>
      <c r="F1" s="348"/>
      <c r="G1" s="348"/>
      <c r="H1" s="349"/>
    </row>
    <row r="2" spans="1:27" x14ac:dyDescent="0.25">
      <c r="A2" s="58" t="s">
        <v>700</v>
      </c>
    </row>
    <row r="3" spans="1:27" ht="15" customHeight="1" x14ac:dyDescent="0.25">
      <c r="A3" s="2" t="s">
        <v>8</v>
      </c>
      <c r="B3" s="2"/>
    </row>
    <row r="4" spans="1:27" ht="15" customHeight="1" x14ac:dyDescent="0.25">
      <c r="A4" s="9" t="s">
        <v>9</v>
      </c>
      <c r="B4" s="9"/>
      <c r="D4" t="s">
        <v>134</v>
      </c>
    </row>
    <row r="5" spans="1:27" x14ac:dyDescent="0.25">
      <c r="C5" s="1" t="s">
        <v>31</v>
      </c>
    </row>
    <row r="6" spans="1:27" x14ac:dyDescent="0.25">
      <c r="A6" s="350" t="s">
        <v>10</v>
      </c>
      <c r="B6" s="351"/>
    </row>
    <row r="7" spans="1:27" ht="39.75" customHeight="1" x14ac:dyDescent="0.25">
      <c r="A7" s="3" t="s">
        <v>0</v>
      </c>
      <c r="B7" s="119" t="s">
        <v>708</v>
      </c>
    </row>
    <row r="8" spans="1:27" ht="382.5" customHeight="1" x14ac:dyDescent="0.25">
      <c r="A8" s="3" t="s">
        <v>2</v>
      </c>
      <c r="B8" s="89" t="s">
        <v>710</v>
      </c>
      <c r="E8" s="352" t="s">
        <v>100</v>
      </c>
      <c r="F8" s="352"/>
      <c r="G8" s="352"/>
      <c r="H8" s="352"/>
      <c r="I8" s="352"/>
    </row>
    <row r="9" spans="1:27" ht="290.25" customHeight="1" thickBot="1" x14ac:dyDescent="0.3">
      <c r="A9" s="3" t="s">
        <v>238</v>
      </c>
      <c r="B9" s="89" t="s">
        <v>711</v>
      </c>
      <c r="C9" s="1" t="s">
        <v>48</v>
      </c>
      <c r="E9" s="353" t="s">
        <v>53</v>
      </c>
      <c r="F9" s="354"/>
      <c r="G9" s="354"/>
      <c r="H9" s="355"/>
      <c r="I9" s="3" t="str">
        <f>B14</f>
        <v xml:space="preserve">N/A   </v>
      </c>
      <c r="J9" t="s">
        <v>74</v>
      </c>
      <c r="P9" s="36" t="s">
        <v>76</v>
      </c>
      <c r="Q9" s="36"/>
      <c r="R9" s="36"/>
      <c r="S9" s="36"/>
      <c r="T9" s="36"/>
      <c r="U9" s="36"/>
      <c r="V9" s="36"/>
      <c r="W9" s="36"/>
      <c r="X9" s="36"/>
      <c r="Y9" s="36"/>
      <c r="Z9" s="36"/>
      <c r="AA9" s="36"/>
    </row>
    <row r="10" spans="1:27" ht="48" customHeight="1" thickBot="1" x14ac:dyDescent="0.3">
      <c r="A10" s="3" t="s">
        <v>4</v>
      </c>
      <c r="B10" s="3" t="s">
        <v>134</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45.75" customHeight="1" x14ac:dyDescent="0.25">
      <c r="A11" s="7" t="s">
        <v>49</v>
      </c>
      <c r="B11" s="18" t="s">
        <v>475</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t="s">
        <v>474</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1" t="s">
        <v>41</v>
      </c>
      <c r="B15" s="381" t="s">
        <v>116</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1" t="s">
        <v>7</v>
      </c>
      <c r="B16" s="382"/>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90" t="s">
        <v>386</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t="s">
        <v>290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t="e">
        <f>+B21/6</f>
        <v>#VALUE!</v>
      </c>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5" customHeight="1" x14ac:dyDescent="0.25">
      <c r="A33" s="84"/>
    </row>
    <row r="56" spans="3:8" x14ac:dyDescent="0.25">
      <c r="C56"/>
      <c r="E56"/>
      <c r="F56"/>
      <c r="G56"/>
      <c r="H56"/>
    </row>
    <row r="57" spans="3:8" x14ac:dyDescent="0.25">
      <c r="C57"/>
      <c r="E57"/>
      <c r="F57"/>
      <c r="G57"/>
      <c r="H57"/>
    </row>
  </sheetData>
  <mergeCells count="10">
    <mergeCell ref="D1:H1"/>
    <mergeCell ref="J18:N20"/>
    <mergeCell ref="J22:N24"/>
    <mergeCell ref="A25:B25"/>
    <mergeCell ref="A6:B6"/>
    <mergeCell ref="E8:I8"/>
    <mergeCell ref="E9:H9"/>
    <mergeCell ref="J10:N11"/>
    <mergeCell ref="J12:N16"/>
    <mergeCell ref="B15:B1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582</v>
      </c>
      <c r="B1" s="45"/>
      <c r="D1" s="347" t="s">
        <v>660</v>
      </c>
      <c r="E1" s="348"/>
      <c r="F1" s="348"/>
      <c r="G1" s="348"/>
      <c r="H1" s="349"/>
    </row>
    <row r="2" spans="1:27" x14ac:dyDescent="0.25">
      <c r="A2" s="205">
        <v>43252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138.75" customHeight="1" x14ac:dyDescent="0.25">
      <c r="A8" s="3" t="s">
        <v>2</v>
      </c>
      <c r="B8" s="180" t="s">
        <v>659</v>
      </c>
      <c r="E8" s="352" t="s">
        <v>100</v>
      </c>
      <c r="F8" s="352"/>
      <c r="G8" s="352"/>
      <c r="H8" s="352"/>
      <c r="I8" s="352"/>
    </row>
    <row r="9" spans="1:27" ht="15.75" thickBot="1" x14ac:dyDescent="0.3">
      <c r="A9" s="3" t="s">
        <v>1</v>
      </c>
      <c r="B9" s="3"/>
      <c r="C9" s="1" t="s">
        <v>48</v>
      </c>
      <c r="E9" s="353" t="s">
        <v>53</v>
      </c>
      <c r="F9" s="354"/>
      <c r="G9" s="354"/>
      <c r="H9" s="355"/>
      <c r="I9" s="213" t="s">
        <v>517</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517</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206" t="s">
        <v>41</v>
      </c>
      <c r="B15" s="364"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206" t="s">
        <v>7</v>
      </c>
      <c r="B16" s="365"/>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206" t="s">
        <v>72</v>
      </c>
      <c r="B17" s="20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206" t="s">
        <v>68</v>
      </c>
      <c r="B18" s="21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206" t="s">
        <v>67</v>
      </c>
      <c r="B19" s="20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210"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1100000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4" max="4" width="35.5703125" customWidth="1"/>
    <col min="5" max="5" width="26.5703125" style="20" customWidth="1"/>
    <col min="6" max="6" width="30.42578125" style="20" customWidth="1"/>
    <col min="7" max="7" width="36.5703125" style="20" customWidth="1"/>
    <col min="8" max="8" width="18" style="20" customWidth="1"/>
    <col min="9" max="9" width="15.7109375" customWidth="1"/>
    <col min="16" max="16" width="12.5703125" customWidth="1"/>
  </cols>
  <sheetData>
    <row r="1" spans="1:27" ht="51" customHeight="1" x14ac:dyDescent="0.3">
      <c r="A1" s="114" t="s">
        <v>288</v>
      </c>
      <c r="B1" s="45"/>
      <c r="D1" s="386" t="s">
        <v>628</v>
      </c>
      <c r="E1" s="387"/>
      <c r="F1" s="387"/>
      <c r="G1" s="387"/>
      <c r="H1" s="388"/>
    </row>
    <row r="2" spans="1:27" x14ac:dyDescent="0.25">
      <c r="A2" s="205">
        <v>43252</v>
      </c>
    </row>
    <row r="3" spans="1:27" ht="15" customHeight="1" x14ac:dyDescent="0.25">
      <c r="A3" s="2" t="s">
        <v>8</v>
      </c>
      <c r="B3" s="2"/>
    </row>
    <row r="4" spans="1:27" ht="15" customHeight="1" x14ac:dyDescent="0.25">
      <c r="A4" s="9" t="s">
        <v>9</v>
      </c>
      <c r="B4" s="9"/>
    </row>
    <row r="5" spans="1:27" x14ac:dyDescent="0.25">
      <c r="C5" s="1" t="s">
        <v>459</v>
      </c>
    </row>
    <row r="6" spans="1:27" x14ac:dyDescent="0.25">
      <c r="A6" s="350" t="s">
        <v>10</v>
      </c>
      <c r="B6" s="351"/>
    </row>
    <row r="7" spans="1:27" ht="21" customHeight="1" x14ac:dyDescent="0.25">
      <c r="A7" s="3" t="s">
        <v>0</v>
      </c>
      <c r="B7" s="3" t="s">
        <v>134</v>
      </c>
    </row>
    <row r="8" spans="1:27" ht="189.75" customHeight="1" thickBot="1" x14ac:dyDescent="0.3">
      <c r="A8" s="3" t="s">
        <v>2</v>
      </c>
      <c r="B8" s="119" t="s">
        <v>464</v>
      </c>
      <c r="D8" s="192" t="s">
        <v>627</v>
      </c>
      <c r="E8"/>
      <c r="F8"/>
      <c r="G8"/>
      <c r="H8"/>
    </row>
    <row r="9" spans="1:27" ht="255" customHeight="1" x14ac:dyDescent="0.25">
      <c r="A9" s="3" t="s">
        <v>238</v>
      </c>
      <c r="B9" s="120" t="s">
        <v>465</v>
      </c>
      <c r="D9" s="434" t="s">
        <v>584</v>
      </c>
      <c r="E9" s="434" t="s">
        <v>585</v>
      </c>
      <c r="F9" s="434" t="s">
        <v>586</v>
      </c>
      <c r="G9" s="186" t="s">
        <v>587</v>
      </c>
      <c r="H9" s="188"/>
      <c r="I9" s="185"/>
    </row>
    <row r="10" spans="1:27" ht="15.75" thickBot="1" x14ac:dyDescent="0.3">
      <c r="A10" s="3" t="s">
        <v>1</v>
      </c>
      <c r="B10" s="3" t="s">
        <v>101</v>
      </c>
      <c r="C10" s="1" t="s">
        <v>48</v>
      </c>
      <c r="D10" s="435"/>
      <c r="E10" s="435"/>
      <c r="F10" s="435"/>
      <c r="G10" s="187" t="s">
        <v>588</v>
      </c>
      <c r="H10" s="188"/>
      <c r="I10" s="185"/>
      <c r="AA10" s="36"/>
    </row>
    <row r="11" spans="1:27" ht="48" customHeight="1" thickBot="1" x14ac:dyDescent="0.3">
      <c r="A11" s="3" t="s">
        <v>4</v>
      </c>
      <c r="B11" s="3" t="s">
        <v>629</v>
      </c>
      <c r="C11" s="1" t="s">
        <v>3</v>
      </c>
      <c r="D11" s="189" t="s">
        <v>589</v>
      </c>
      <c r="E11" s="190">
        <v>8.4429999999999996</v>
      </c>
      <c r="F11" s="190" t="s">
        <v>590</v>
      </c>
      <c r="G11" s="191">
        <v>2.367</v>
      </c>
      <c r="H11" s="188"/>
      <c r="I11" s="185"/>
      <c r="AA11" s="38"/>
    </row>
    <row r="12" spans="1:27" ht="19.5" customHeight="1" thickBot="1" x14ac:dyDescent="0.3">
      <c r="A12" s="7" t="s">
        <v>49</v>
      </c>
      <c r="B12" s="11" t="s">
        <v>134</v>
      </c>
      <c r="D12" s="189" t="s">
        <v>591</v>
      </c>
      <c r="E12" s="190">
        <v>5.7329999999999997</v>
      </c>
      <c r="F12" s="190" t="s">
        <v>592</v>
      </c>
      <c r="G12" s="191">
        <v>0</v>
      </c>
      <c r="H12" s="188"/>
      <c r="AA12" s="36"/>
    </row>
    <row r="13" spans="1:27" ht="15" customHeight="1" thickBot="1" x14ac:dyDescent="0.3">
      <c r="A13" s="7" t="s">
        <v>50</v>
      </c>
      <c r="B13" s="11" t="s">
        <v>134</v>
      </c>
      <c r="D13" s="189" t="s">
        <v>593</v>
      </c>
      <c r="E13" s="190">
        <v>13.983000000000001</v>
      </c>
      <c r="F13" s="190" t="s">
        <v>594</v>
      </c>
      <c r="G13" s="191">
        <v>7.2889999999999997</v>
      </c>
      <c r="H13" s="188"/>
      <c r="I13" s="185"/>
      <c r="AA13" s="36"/>
    </row>
    <row r="14" spans="1:27" ht="50.25" customHeight="1" thickBot="1" x14ac:dyDescent="0.3">
      <c r="A14" s="7" t="s">
        <v>51</v>
      </c>
      <c r="B14" s="98" t="s">
        <v>458</v>
      </c>
      <c r="C14" s="1" t="s">
        <v>52</v>
      </c>
      <c r="D14" s="189" t="s">
        <v>595</v>
      </c>
      <c r="E14" s="190">
        <v>17.309000000000001</v>
      </c>
      <c r="F14" s="190" t="s">
        <v>596</v>
      </c>
      <c r="G14" s="191">
        <v>9.6999999999999993</v>
      </c>
      <c r="H14" s="188"/>
      <c r="AA14" s="36"/>
    </row>
    <row r="15" spans="1:27" ht="21.75" customHeight="1" thickBot="1" x14ac:dyDescent="0.3">
      <c r="A15" s="7" t="s">
        <v>53</v>
      </c>
      <c r="B15" s="18" t="s">
        <v>397</v>
      </c>
      <c r="D15" s="189" t="s">
        <v>597</v>
      </c>
      <c r="E15" s="190">
        <v>3.2370000000000001</v>
      </c>
      <c r="F15" s="190" t="s">
        <v>598</v>
      </c>
      <c r="G15" s="191">
        <v>0</v>
      </c>
      <c r="H15" s="188"/>
      <c r="I15" s="185"/>
      <c r="AA15" s="36"/>
    </row>
    <row r="16" spans="1:27" ht="15.75" thickBot="1" x14ac:dyDescent="0.3">
      <c r="A16" s="81" t="s">
        <v>41</v>
      </c>
      <c r="B16" s="358" t="s">
        <v>134</v>
      </c>
      <c r="D16" s="189" t="s">
        <v>599</v>
      </c>
      <c r="E16" s="190">
        <v>8.5690000000000008</v>
      </c>
      <c r="F16" s="190" t="s">
        <v>600</v>
      </c>
      <c r="G16" s="191">
        <v>3.3570000000000002</v>
      </c>
      <c r="H16" s="188"/>
      <c r="AA16" s="36"/>
    </row>
    <row r="17" spans="1:27" ht="60.75" customHeight="1" thickBot="1" x14ac:dyDescent="0.3">
      <c r="A17" s="81" t="s">
        <v>7</v>
      </c>
      <c r="B17" s="359"/>
      <c r="C17" s="1" t="s">
        <v>21</v>
      </c>
      <c r="D17" s="189" t="s">
        <v>601</v>
      </c>
      <c r="E17" s="190">
        <v>15.667</v>
      </c>
      <c r="F17" s="190" t="s">
        <v>602</v>
      </c>
      <c r="G17" s="191">
        <v>4.4980000000000002</v>
      </c>
      <c r="H17" s="188"/>
      <c r="I17" s="185"/>
      <c r="AA17" s="36"/>
    </row>
    <row r="18" spans="1:27" ht="15.75" thickBot="1" x14ac:dyDescent="0.3">
      <c r="A18" s="81" t="s">
        <v>72</v>
      </c>
      <c r="B18" s="81"/>
      <c r="C18" s="1" t="s">
        <v>73</v>
      </c>
      <c r="D18" s="189" t="s">
        <v>603</v>
      </c>
      <c r="E18" s="190">
        <v>12.013999999999999</v>
      </c>
      <c r="F18" s="190" t="s">
        <v>604</v>
      </c>
      <c r="G18" s="191">
        <v>3.0510000000000002</v>
      </c>
      <c r="H18" s="188"/>
      <c r="AA18" s="36"/>
    </row>
    <row r="19" spans="1:27" ht="15.75" thickBot="1" x14ac:dyDescent="0.3">
      <c r="A19" s="81" t="s">
        <v>68</v>
      </c>
      <c r="B19" s="82"/>
      <c r="C19" s="1" t="s">
        <v>69</v>
      </c>
      <c r="D19" s="189" t="s">
        <v>605</v>
      </c>
      <c r="E19" s="190">
        <v>13.087</v>
      </c>
      <c r="F19" s="190" t="s">
        <v>606</v>
      </c>
      <c r="G19" s="191">
        <v>11.484999999999999</v>
      </c>
      <c r="H19" s="188"/>
      <c r="I19" s="185"/>
      <c r="AA19" s="36"/>
    </row>
    <row r="20" spans="1:27" ht="21" customHeight="1" thickBot="1" x14ac:dyDescent="0.3">
      <c r="A20" s="81" t="s">
        <v>67</v>
      </c>
      <c r="B20" s="81"/>
      <c r="C20" s="1" t="s">
        <v>70</v>
      </c>
      <c r="D20" s="189" t="s">
        <v>607</v>
      </c>
      <c r="E20" s="190">
        <v>11.967000000000001</v>
      </c>
      <c r="F20" s="190" t="s">
        <v>608</v>
      </c>
      <c r="G20" s="191">
        <v>0</v>
      </c>
      <c r="H20" s="188"/>
      <c r="AA20" s="36"/>
    </row>
    <row r="21" spans="1:27" ht="48.75" customHeight="1" thickBot="1" x14ac:dyDescent="0.3">
      <c r="A21" s="3" t="s">
        <v>98</v>
      </c>
      <c r="B21" s="83" t="s">
        <v>134</v>
      </c>
      <c r="C21" s="1" t="s">
        <v>58</v>
      </c>
      <c r="D21" s="189" t="s">
        <v>609</v>
      </c>
      <c r="E21" s="190">
        <v>18.774000000000001</v>
      </c>
      <c r="F21" s="190" t="s">
        <v>610</v>
      </c>
      <c r="G21" s="191">
        <v>12.333</v>
      </c>
      <c r="H21" s="188"/>
      <c r="I21" s="185"/>
      <c r="AA21" s="36"/>
    </row>
    <row r="22" spans="1:27" x14ac:dyDescent="0.25">
      <c r="A22" s="3" t="s">
        <v>5</v>
      </c>
      <c r="B22" s="16">
        <v>3000000</v>
      </c>
      <c r="C22" s="1" t="s">
        <v>6</v>
      </c>
      <c r="D22" s="198" t="s">
        <v>611</v>
      </c>
      <c r="E22" s="199">
        <v>1.357</v>
      </c>
      <c r="F22" s="199" t="s">
        <v>204</v>
      </c>
      <c r="G22" s="200">
        <v>1.357</v>
      </c>
      <c r="H22" s="188"/>
      <c r="AA22" s="36"/>
    </row>
    <row r="23" spans="1:27" ht="34.5" customHeight="1" x14ac:dyDescent="0.25">
      <c r="A23" s="3" t="s">
        <v>55</v>
      </c>
      <c r="B23" s="17" t="s">
        <v>191</v>
      </c>
      <c r="C23" s="1" t="s">
        <v>54</v>
      </c>
      <c r="D23" s="194"/>
      <c r="E23" s="195"/>
      <c r="F23" s="195"/>
      <c r="G23" s="196"/>
      <c r="H23" s="193"/>
      <c r="I23" s="185"/>
      <c r="AA23" s="36"/>
    </row>
    <row r="24" spans="1:27" ht="30.75" customHeight="1" x14ac:dyDescent="0.25">
      <c r="A24" s="3" t="s">
        <v>56</v>
      </c>
      <c r="B24" s="16"/>
      <c r="C24" s="1" t="s">
        <v>57</v>
      </c>
      <c r="D24" s="194"/>
      <c r="E24" s="195"/>
      <c r="F24" s="195"/>
      <c r="G24" s="196"/>
      <c r="H24" s="193"/>
      <c r="AA24" s="36"/>
    </row>
    <row r="25" spans="1:27" x14ac:dyDescent="0.25">
      <c r="A25" s="12"/>
      <c r="B25" s="13"/>
      <c r="D25" s="197"/>
      <c r="E25"/>
      <c r="F25"/>
      <c r="G25"/>
      <c r="H25"/>
      <c r="I25" s="185"/>
      <c r="AA25" s="36"/>
    </row>
    <row r="26" spans="1:27" ht="24" customHeight="1" thickBot="1" x14ac:dyDescent="0.3">
      <c r="A26" s="346" t="s">
        <v>71</v>
      </c>
      <c r="B26" s="346"/>
      <c r="D26" s="192" t="s">
        <v>612</v>
      </c>
      <c r="E26"/>
      <c r="F26"/>
      <c r="G26"/>
      <c r="H26"/>
      <c r="AA26" s="36"/>
    </row>
    <row r="27" spans="1:27" x14ac:dyDescent="0.25">
      <c r="A27" s="3" t="s">
        <v>28</v>
      </c>
      <c r="B27" s="3" t="s">
        <v>361</v>
      </c>
      <c r="D27" s="434" t="s">
        <v>584</v>
      </c>
      <c r="E27" s="434" t="s">
        <v>613</v>
      </c>
      <c r="F27" s="434" t="s">
        <v>586</v>
      </c>
      <c r="G27" s="186" t="s">
        <v>614</v>
      </c>
      <c r="H27" s="188"/>
      <c r="I27" s="185"/>
      <c r="AA27" s="36"/>
    </row>
    <row r="28" spans="1:27" ht="15.75" thickBot="1" x14ac:dyDescent="0.3">
      <c r="A28" s="3" t="s">
        <v>29</v>
      </c>
      <c r="B28" s="3"/>
      <c r="D28" s="435"/>
      <c r="E28" s="435"/>
      <c r="F28" s="435"/>
      <c r="G28" s="187" t="s">
        <v>588</v>
      </c>
      <c r="H28" s="188"/>
      <c r="AA28" s="36"/>
    </row>
    <row r="29" spans="1:27" ht="39.75" customHeight="1" thickBot="1" x14ac:dyDescent="0.3">
      <c r="A29" s="3" t="s">
        <v>30</v>
      </c>
      <c r="B29" s="17"/>
      <c r="C29" s="1" t="s">
        <v>43</v>
      </c>
      <c r="D29" s="189" t="s">
        <v>589</v>
      </c>
      <c r="E29" s="190">
        <v>6.6790000000000003</v>
      </c>
      <c r="F29" s="190" t="s">
        <v>615</v>
      </c>
      <c r="G29" s="190">
        <v>0</v>
      </c>
      <c r="H29" s="188"/>
      <c r="I29" s="185"/>
      <c r="AA29" s="36"/>
    </row>
    <row r="30" spans="1:27" ht="15.75" thickBot="1" x14ac:dyDescent="0.3">
      <c r="A30" s="3" t="s">
        <v>44</v>
      </c>
      <c r="B30" s="3"/>
      <c r="D30" s="189" t="s">
        <v>591</v>
      </c>
      <c r="E30" s="190">
        <v>6.5590000000000002</v>
      </c>
      <c r="F30" s="190" t="s">
        <v>616</v>
      </c>
      <c r="G30" s="190">
        <v>0</v>
      </c>
      <c r="H30" s="188"/>
      <c r="AA30" s="36"/>
    </row>
    <row r="31" spans="1:27" ht="15.75" thickBot="1" x14ac:dyDescent="0.3">
      <c r="A31" s="3" t="s">
        <v>47</v>
      </c>
      <c r="B31" s="3"/>
      <c r="D31" s="189" t="s">
        <v>593</v>
      </c>
      <c r="E31" s="190">
        <v>13.116</v>
      </c>
      <c r="F31" s="190" t="s">
        <v>617</v>
      </c>
      <c r="G31" s="190">
        <v>0</v>
      </c>
      <c r="H31" s="188"/>
      <c r="I31" s="185"/>
      <c r="AA31" s="36"/>
    </row>
    <row r="32" spans="1:27" ht="15.75" thickBot="1" x14ac:dyDescent="0.3">
      <c r="A32" s="3" t="s">
        <v>45</v>
      </c>
      <c r="B32" s="3"/>
      <c r="D32" s="189" t="s">
        <v>595</v>
      </c>
      <c r="E32" s="190">
        <v>16.722000000000001</v>
      </c>
      <c r="F32" s="190" t="s">
        <v>618</v>
      </c>
      <c r="G32" s="190">
        <v>0</v>
      </c>
      <c r="H32" s="188"/>
      <c r="AA32" s="36"/>
    </row>
    <row r="33" spans="1:9" ht="15.75" thickBot="1" x14ac:dyDescent="0.3">
      <c r="A33" s="3" t="s">
        <v>46</v>
      </c>
      <c r="B33" s="3"/>
      <c r="D33" s="189" t="s">
        <v>597</v>
      </c>
      <c r="E33" s="190">
        <v>5.2789999999999999</v>
      </c>
      <c r="F33" s="190" t="s">
        <v>598</v>
      </c>
      <c r="G33" s="190">
        <v>0</v>
      </c>
      <c r="H33" s="188"/>
      <c r="I33" s="185"/>
    </row>
    <row r="34" spans="1:9" ht="18" customHeight="1" thickBot="1" x14ac:dyDescent="0.3">
      <c r="A34" s="84"/>
      <c r="D34" s="189" t="s">
        <v>599</v>
      </c>
      <c r="E34" s="190">
        <v>8.7810000000000006</v>
      </c>
      <c r="F34" s="190" t="s">
        <v>600</v>
      </c>
      <c r="G34" s="190">
        <v>0</v>
      </c>
      <c r="H34" s="188"/>
    </row>
    <row r="35" spans="1:9" ht="15.75" thickBot="1" x14ac:dyDescent="0.3">
      <c r="D35" s="189" t="s">
        <v>601</v>
      </c>
      <c r="E35" s="190">
        <v>17.021999999999998</v>
      </c>
      <c r="F35" s="190" t="s">
        <v>619</v>
      </c>
      <c r="G35" s="190">
        <v>0</v>
      </c>
      <c r="H35" s="188"/>
    </row>
    <row r="36" spans="1:9" ht="15.75" thickBot="1" x14ac:dyDescent="0.3">
      <c r="D36" s="189" t="s">
        <v>603</v>
      </c>
      <c r="E36" s="190">
        <v>8.8040000000000003</v>
      </c>
      <c r="F36" s="190" t="s">
        <v>620</v>
      </c>
      <c r="G36" s="190">
        <v>0</v>
      </c>
      <c r="H36" s="188"/>
    </row>
    <row r="37" spans="1:9" ht="15.75" thickBot="1" x14ac:dyDescent="0.3">
      <c r="D37" s="189" t="s">
        <v>621</v>
      </c>
      <c r="E37" s="190">
        <v>15.315</v>
      </c>
      <c r="F37" s="190" t="s">
        <v>622</v>
      </c>
      <c r="G37" s="190">
        <v>3.5190000000000001</v>
      </c>
      <c r="H37" s="188"/>
    </row>
    <row r="38" spans="1:9" ht="15.75" thickBot="1" x14ac:dyDescent="0.3">
      <c r="D38" s="189" t="s">
        <v>607</v>
      </c>
      <c r="E38" s="190">
        <v>14.015000000000001</v>
      </c>
      <c r="F38" s="190" t="s">
        <v>623</v>
      </c>
      <c r="G38" s="190">
        <v>0</v>
      </c>
      <c r="H38" s="188"/>
    </row>
    <row r="39" spans="1:9" ht="15.75" thickBot="1" x14ac:dyDescent="0.3">
      <c r="C39" s="113"/>
      <c r="D39" s="189" t="s">
        <v>609</v>
      </c>
      <c r="E39" s="190">
        <v>14.88</v>
      </c>
      <c r="F39" s="190" t="s">
        <v>624</v>
      </c>
      <c r="G39" s="190">
        <v>2.819</v>
      </c>
      <c r="H39" s="188"/>
    </row>
    <row r="40" spans="1:9" ht="15.75" thickBot="1" x14ac:dyDescent="0.3">
      <c r="D40" s="189" t="s">
        <v>625</v>
      </c>
      <c r="E40" s="190">
        <v>10.971</v>
      </c>
      <c r="F40" s="190" t="s">
        <v>626</v>
      </c>
      <c r="G40" s="190">
        <v>0</v>
      </c>
      <c r="H40" s="188"/>
    </row>
    <row r="58" customFormat="1" x14ac:dyDescent="0.25"/>
  </sheetData>
  <mergeCells count="10">
    <mergeCell ref="D27:D28"/>
    <mergeCell ref="E27:E28"/>
    <mergeCell ref="F27:F28"/>
    <mergeCell ref="D1:H1"/>
    <mergeCell ref="A26:B26"/>
    <mergeCell ref="A6:B6"/>
    <mergeCell ref="B16:B17"/>
    <mergeCell ref="D9:D10"/>
    <mergeCell ref="E9:E10"/>
    <mergeCell ref="F9:F10"/>
  </mergeCells>
  <pageMargins left="0.7" right="0.7" top="0.75" bottom="0.75" header="0.3" footer="0.3"/>
  <pageSetup orientation="portrait" verticalDpi="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3">
      <c r="A1" s="111" t="s">
        <v>578</v>
      </c>
      <c r="B1" s="45"/>
      <c r="C1" s="347" t="s">
        <v>648</v>
      </c>
      <c r="D1" s="348"/>
      <c r="E1" s="348"/>
      <c r="F1" s="348"/>
      <c r="G1" s="349"/>
    </row>
    <row r="2" spans="1:27" x14ac:dyDescent="0.25">
      <c r="A2" s="205">
        <v>43252</v>
      </c>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3" t="s">
        <v>578</v>
      </c>
    </row>
    <row r="8" spans="1:27" ht="157.5" customHeight="1" x14ac:dyDescent="0.25">
      <c r="A8" s="3" t="s">
        <v>2</v>
      </c>
      <c r="B8" s="86" t="s">
        <v>638</v>
      </c>
      <c r="E8" s="352" t="s">
        <v>100</v>
      </c>
      <c r="F8" s="352"/>
      <c r="G8" s="352"/>
      <c r="H8" s="352"/>
      <c r="I8" s="352"/>
    </row>
    <row r="9" spans="1:27" ht="137.25" customHeight="1" x14ac:dyDescent="0.25">
      <c r="A9" s="3" t="s">
        <v>238</v>
      </c>
      <c r="B9" s="209" t="s">
        <v>637</v>
      </c>
      <c r="E9" s="176"/>
      <c r="F9" s="176"/>
      <c r="G9" s="176"/>
      <c r="H9" s="176"/>
      <c r="I9" s="176"/>
    </row>
    <row r="10" spans="1:27" ht="15.75" thickBot="1" x14ac:dyDescent="0.3">
      <c r="A10" s="3" t="s">
        <v>1</v>
      </c>
      <c r="B10" s="153"/>
      <c r="C10" s="1" t="s">
        <v>48</v>
      </c>
      <c r="E10" s="353" t="s">
        <v>53</v>
      </c>
      <c r="F10" s="354"/>
      <c r="G10" s="354"/>
      <c r="H10" s="355"/>
      <c r="I10" s="3" t="str">
        <f>B15</f>
        <v>n/A  this is not load driven project</v>
      </c>
      <c r="J10" t="s">
        <v>74</v>
      </c>
      <c r="P10" s="36" t="s">
        <v>76</v>
      </c>
      <c r="Q10" s="36"/>
      <c r="R10" s="36"/>
      <c r="S10" s="36"/>
      <c r="T10" s="36"/>
      <c r="U10" s="36"/>
      <c r="V10" s="36"/>
      <c r="W10" s="36"/>
      <c r="X10" s="36"/>
      <c r="Y10" s="36"/>
      <c r="Z10" s="36"/>
      <c r="AA10" s="36"/>
    </row>
    <row r="11" spans="1:27" ht="48" customHeight="1" thickBot="1" x14ac:dyDescent="0.3">
      <c r="A11" s="3" t="s">
        <v>4</v>
      </c>
      <c r="B11" s="3" t="s">
        <v>639</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45" customHeight="1" x14ac:dyDescent="0.25">
      <c r="A12" s="7" t="s">
        <v>49</v>
      </c>
      <c r="B12" s="18" t="s">
        <v>641</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640</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7" t="s">
        <v>640</v>
      </c>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436"/>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 customHeight="1" x14ac:dyDescent="0.25">
      <c r="A17" s="206" t="s">
        <v>7</v>
      </c>
      <c r="B17" s="437"/>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206" t="s">
        <v>72</v>
      </c>
      <c r="B18" s="166"/>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206" t="s">
        <v>68</v>
      </c>
      <c r="B19" s="168"/>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166"/>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169" t="s">
        <v>134</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v>3600000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642</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t="s">
        <v>116</v>
      </c>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5.75" customHeight="1" x14ac:dyDescent="0.25">
      <c r="A34" s="84"/>
    </row>
    <row r="35" spans="1:2" x14ac:dyDescent="0.25">
      <c r="B35" s="58"/>
    </row>
    <row r="36" spans="1:2" x14ac:dyDescent="0.25">
      <c r="A36" s="58"/>
      <c r="B36" s="58"/>
    </row>
    <row r="37" spans="1:2" x14ac:dyDescent="0.25">
      <c r="A37" s="58"/>
      <c r="B37" s="58"/>
    </row>
    <row r="38" spans="1:2" x14ac:dyDescent="0.25">
      <c r="A38" s="58"/>
      <c r="B38" s="152"/>
    </row>
    <row r="39" spans="1:2" x14ac:dyDescent="0.25">
      <c r="A39" s="58"/>
      <c r="B39" s="152"/>
    </row>
    <row r="40" spans="1:2" x14ac:dyDescent="0.25">
      <c r="A40" s="58"/>
      <c r="B40" s="152"/>
    </row>
    <row r="41" spans="1:2" x14ac:dyDescent="0.25">
      <c r="A41" s="58"/>
      <c r="B41" s="152"/>
    </row>
    <row r="42" spans="1:2" x14ac:dyDescent="0.25">
      <c r="A42" s="58"/>
      <c r="B42" s="152"/>
    </row>
    <row r="43" spans="1:2" x14ac:dyDescent="0.25">
      <c r="A43" s="58"/>
      <c r="B43" s="152"/>
    </row>
    <row r="57" customFormat="1" x14ac:dyDescent="0.25"/>
    <row r="58" customFormat="1" x14ac:dyDescent="0.25"/>
  </sheetData>
  <mergeCells count="10">
    <mergeCell ref="J19:N21"/>
    <mergeCell ref="J23:N25"/>
    <mergeCell ref="A26:B26"/>
    <mergeCell ref="C1:G1"/>
    <mergeCell ref="A6:B6"/>
    <mergeCell ref="E8:I8"/>
    <mergeCell ref="E10:H10"/>
    <mergeCell ref="J11:N12"/>
    <mergeCell ref="J13:N17"/>
    <mergeCell ref="B16:B17"/>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EC3A-ED14-4DE1-927F-E4F3342CE0EC}">
  <sheetPr>
    <tabColor rgb="FF00B0F0"/>
    <pageSetUpPr fitToPage="1"/>
  </sheetPr>
  <dimension ref="A1:AA57"/>
  <sheetViews>
    <sheetView topLeftCell="A7" zoomScaleNormal="100" workbookViewId="0">
      <selection activeCell="B37" sqref="B37"/>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863</v>
      </c>
      <c r="B1" s="45"/>
      <c r="D1" s="347" t="s">
        <v>648</v>
      </c>
      <c r="E1" s="348"/>
      <c r="F1" s="348"/>
      <c r="G1" s="348"/>
      <c r="H1" s="349"/>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704</v>
      </c>
    </row>
    <row r="8" spans="1:27" ht="120" x14ac:dyDescent="0.25">
      <c r="A8" s="3" t="s">
        <v>2</v>
      </c>
      <c r="B8" s="223" t="s">
        <v>862</v>
      </c>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2000000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658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pageSetUpPr fitToPage="1"/>
  </sheetPr>
  <dimension ref="A1:BC63"/>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33.85546875" customWidth="1"/>
    <col min="16" max="16" width="12" style="121" customWidth="1"/>
  </cols>
  <sheetData>
    <row r="1" spans="1:55" ht="75.75" customHeight="1" x14ac:dyDescent="0.3">
      <c r="A1" s="114" t="s">
        <v>133</v>
      </c>
      <c r="B1" s="45" t="s">
        <v>134</v>
      </c>
      <c r="D1" s="403" t="s">
        <v>513</v>
      </c>
      <c r="E1" s="404"/>
      <c r="F1" s="404"/>
      <c r="G1" s="404"/>
      <c r="H1" s="404"/>
      <c r="I1" s="404"/>
      <c r="J1" s="405"/>
      <c r="K1" s="1"/>
      <c r="L1" s="1"/>
      <c r="M1" s="1"/>
      <c r="N1" s="1"/>
      <c r="O1" s="1"/>
      <c r="P1" s="1"/>
      <c r="Q1" s="1"/>
      <c r="R1" s="1"/>
      <c r="S1" s="1"/>
      <c r="T1" s="1"/>
      <c r="U1" s="1"/>
      <c r="V1" s="1"/>
      <c r="W1" s="1"/>
      <c r="X1" s="1"/>
      <c r="Y1" s="1"/>
      <c r="Z1" s="1"/>
    </row>
    <row r="2" spans="1:55" x14ac:dyDescent="0.25">
      <c r="A2" s="118" t="s">
        <v>732</v>
      </c>
      <c r="D2" s="138" t="s">
        <v>369</v>
      </c>
      <c r="E2" s="139"/>
      <c r="F2" s="139"/>
      <c r="G2" s="139"/>
      <c r="H2" s="139"/>
      <c r="I2" s="138"/>
      <c r="J2" s="138"/>
      <c r="K2" s="138"/>
      <c r="L2" s="138"/>
      <c r="M2" s="138"/>
      <c r="N2" s="138"/>
      <c r="O2" s="138"/>
      <c r="P2" s="140"/>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row>
    <row r="3" spans="1:55" x14ac:dyDescent="0.25">
      <c r="D3" s="141" t="s">
        <v>366</v>
      </c>
      <c r="E3" s="139"/>
      <c r="F3" s="139"/>
      <c r="G3" s="139"/>
      <c r="H3" s="139"/>
      <c r="I3" s="138"/>
      <c r="J3" s="138"/>
      <c r="K3" s="138"/>
      <c r="L3" s="138"/>
      <c r="M3" s="138"/>
      <c r="N3" s="138"/>
      <c r="O3" s="138"/>
      <c r="P3" s="140"/>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row>
    <row r="4" spans="1:55" x14ac:dyDescent="0.25">
      <c r="D4" s="142" t="s">
        <v>370</v>
      </c>
      <c r="E4" s="139"/>
      <c r="F4" s="139"/>
      <c r="G4" s="139"/>
      <c r="H4" s="139"/>
      <c r="I4" s="138"/>
      <c r="J4" s="138"/>
      <c r="K4" s="138"/>
      <c r="L4" s="138"/>
      <c r="M4" s="138"/>
      <c r="N4" s="138"/>
      <c r="O4" s="138"/>
      <c r="P4" s="140"/>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row>
    <row r="5" spans="1:55" x14ac:dyDescent="0.25">
      <c r="D5" s="142" t="s">
        <v>371</v>
      </c>
      <c r="E5" s="139"/>
      <c r="F5" s="139"/>
      <c r="G5" s="139"/>
      <c r="H5" s="139"/>
      <c r="I5" s="138"/>
      <c r="J5" s="138"/>
      <c r="K5" s="138"/>
      <c r="L5" s="138"/>
      <c r="M5" s="138"/>
      <c r="N5" s="138"/>
      <c r="O5" s="138"/>
      <c r="P5" s="140"/>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row>
    <row r="6" spans="1:55" x14ac:dyDescent="0.25">
      <c r="D6" s="142" t="s">
        <v>372</v>
      </c>
      <c r="E6" s="139"/>
      <c r="F6" s="139"/>
      <c r="G6" s="139"/>
      <c r="H6" s="139"/>
      <c r="I6" s="138"/>
      <c r="J6" s="138"/>
      <c r="K6" s="138"/>
      <c r="L6" s="138"/>
      <c r="M6" s="138"/>
      <c r="N6" s="138"/>
      <c r="O6" s="138"/>
      <c r="P6" s="140"/>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row>
    <row r="7" spans="1:55" x14ac:dyDescent="0.25">
      <c r="D7" s="141" t="s">
        <v>367</v>
      </c>
      <c r="E7" s="139"/>
      <c r="F7" s="139"/>
      <c r="G7" s="139"/>
      <c r="H7" s="139"/>
      <c r="I7" s="138"/>
      <c r="J7" s="138"/>
      <c r="K7" s="138"/>
      <c r="L7" s="138"/>
      <c r="M7" s="138"/>
      <c r="N7" s="138"/>
      <c r="O7" s="138"/>
      <c r="P7" s="140"/>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row>
    <row r="8" spans="1:55" ht="15" customHeight="1" x14ac:dyDescent="0.25">
      <c r="A8" s="2" t="s">
        <v>8</v>
      </c>
      <c r="B8" s="2"/>
      <c r="D8" s="143" t="s">
        <v>373</v>
      </c>
      <c r="E8" s="139"/>
      <c r="F8" s="139"/>
      <c r="G8" s="139"/>
      <c r="H8" s="139"/>
      <c r="I8" s="138"/>
      <c r="J8" s="138"/>
      <c r="K8" s="138"/>
      <c r="L8" s="138"/>
      <c r="M8" s="138"/>
      <c r="N8" s="138"/>
      <c r="O8" s="138"/>
      <c r="P8" s="140"/>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row>
    <row r="9" spans="1:55" ht="15" customHeight="1" x14ac:dyDescent="0.25">
      <c r="A9" s="9" t="s">
        <v>9</v>
      </c>
      <c r="B9" s="9"/>
      <c r="D9" s="143" t="s">
        <v>374</v>
      </c>
      <c r="E9" s="139"/>
      <c r="F9" s="139"/>
      <c r="G9" s="139"/>
      <c r="H9" s="139"/>
      <c r="I9" s="138"/>
      <c r="J9" s="138"/>
      <c r="K9" s="138"/>
      <c r="L9" s="138"/>
      <c r="M9" s="138"/>
      <c r="N9" s="138"/>
      <c r="O9" s="138"/>
      <c r="P9" s="140"/>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row>
    <row r="10" spans="1:55" ht="15.75" x14ac:dyDescent="0.25">
      <c r="C10" s="1" t="s">
        <v>31</v>
      </c>
      <c r="D10" s="143" t="s">
        <v>375</v>
      </c>
      <c r="E10" s="139"/>
      <c r="F10" s="139"/>
      <c r="G10" s="139"/>
      <c r="H10" s="139"/>
      <c r="I10" s="138"/>
      <c r="J10" s="138"/>
      <c r="K10" s="138"/>
      <c r="L10" s="138"/>
      <c r="M10" s="138"/>
      <c r="N10" s="138"/>
      <c r="O10" s="138"/>
      <c r="P10" s="140"/>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row>
    <row r="11" spans="1:55" x14ac:dyDescent="0.25">
      <c r="A11" s="350" t="s">
        <v>10</v>
      </c>
      <c r="B11" s="351"/>
      <c r="D11" s="142" t="s">
        <v>376</v>
      </c>
      <c r="E11" s="139"/>
      <c r="F11" s="139"/>
      <c r="G11" s="139"/>
      <c r="H11" s="139"/>
      <c r="I11" s="138"/>
      <c r="J11" s="138"/>
      <c r="K11" s="138"/>
      <c r="L11" s="138"/>
      <c r="M11" s="138"/>
      <c r="N11" s="138"/>
      <c r="O11" s="138"/>
      <c r="P11" s="140"/>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row>
    <row r="12" spans="1:55" ht="21" customHeight="1" x14ac:dyDescent="0.25">
      <c r="A12" s="3" t="s">
        <v>0</v>
      </c>
      <c r="B12" s="3" t="s">
        <v>133</v>
      </c>
      <c r="D12" s="141" t="s">
        <v>377</v>
      </c>
      <c r="E12" s="139"/>
      <c r="F12" s="139"/>
      <c r="G12" s="139"/>
      <c r="H12" s="139"/>
      <c r="I12" s="138"/>
      <c r="J12" s="138"/>
      <c r="K12" s="138"/>
      <c r="L12" s="138"/>
      <c r="M12" s="138"/>
      <c r="N12" s="138"/>
      <c r="O12" s="138"/>
      <c r="P12" s="140"/>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row>
    <row r="13" spans="1:55" ht="165" customHeight="1" x14ac:dyDescent="0.25">
      <c r="A13" s="3" t="s">
        <v>2</v>
      </c>
      <c r="B13" s="119" t="s">
        <v>442</v>
      </c>
      <c r="C13" s="1" t="s">
        <v>134</v>
      </c>
    </row>
    <row r="14" spans="1:55" ht="79.5" customHeight="1" x14ac:dyDescent="0.25">
      <c r="A14" s="3" t="s">
        <v>238</v>
      </c>
      <c r="B14" s="119" t="s">
        <v>731</v>
      </c>
      <c r="E14" s="352" t="s">
        <v>100</v>
      </c>
      <c r="F14" s="352"/>
      <c r="G14" s="352"/>
      <c r="H14" s="352"/>
      <c r="I14" s="352"/>
    </row>
    <row r="15" spans="1:55" ht="30.75" thickBot="1" x14ac:dyDescent="0.3">
      <c r="A15" s="3" t="s">
        <v>1</v>
      </c>
      <c r="B15" s="3" t="s">
        <v>236</v>
      </c>
      <c r="C15" s="1" t="s">
        <v>48</v>
      </c>
      <c r="E15" s="353" t="s">
        <v>53</v>
      </c>
      <c r="F15" s="354"/>
      <c r="G15" s="354"/>
      <c r="H15" s="355"/>
      <c r="I15" s="86" t="str">
        <f>B20</f>
        <v>&gt; 10 years need     (127 MW with tie in to Florence, so 11 MW)</v>
      </c>
      <c r="J15" t="s">
        <v>74</v>
      </c>
      <c r="P15" s="36" t="s">
        <v>76</v>
      </c>
      <c r="Q15" s="36"/>
      <c r="R15" s="36"/>
      <c r="S15" s="36"/>
      <c r="T15" s="36"/>
      <c r="U15" s="36"/>
      <c r="V15" s="36"/>
      <c r="W15" s="36"/>
      <c r="X15" s="36"/>
      <c r="Y15" s="36"/>
      <c r="Z15" s="36"/>
      <c r="AA15" s="36"/>
    </row>
    <row r="16" spans="1:55" ht="48" customHeight="1" thickBot="1" x14ac:dyDescent="0.3">
      <c r="A16" s="3" t="s">
        <v>4</v>
      </c>
      <c r="B16" s="3" t="s">
        <v>102</v>
      </c>
      <c r="C16" s="1" t="s">
        <v>3</v>
      </c>
      <c r="E16" s="30" t="s">
        <v>75</v>
      </c>
      <c r="F16" s="31" t="s">
        <v>147</v>
      </c>
      <c r="G16" s="31" t="s">
        <v>146</v>
      </c>
      <c r="H16" s="31" t="s">
        <v>90</v>
      </c>
      <c r="I16" s="31" t="s">
        <v>144</v>
      </c>
      <c r="J16" s="344" t="s">
        <v>92</v>
      </c>
      <c r="K16" s="345"/>
      <c r="L16" s="345"/>
      <c r="M16" s="345"/>
      <c r="N16" s="345"/>
      <c r="P16" s="36" t="s">
        <v>77</v>
      </c>
      <c r="Q16" s="41">
        <v>0.9</v>
      </c>
      <c r="R16" s="39">
        <v>0.8</v>
      </c>
      <c r="S16" s="39">
        <v>0.7</v>
      </c>
      <c r="T16" s="40">
        <v>0.6</v>
      </c>
      <c r="U16" s="41">
        <v>0.5</v>
      </c>
      <c r="V16" s="39">
        <v>0.4</v>
      </c>
      <c r="W16" s="39">
        <v>0.3</v>
      </c>
      <c r="X16" s="39">
        <v>0.2</v>
      </c>
      <c r="Y16" s="39">
        <v>0.1</v>
      </c>
      <c r="Z16" s="39">
        <v>0.05</v>
      </c>
      <c r="AA16" s="38">
        <v>18537</v>
      </c>
    </row>
    <row r="17" spans="1:27" ht="50.45" customHeight="1" x14ac:dyDescent="0.25">
      <c r="A17" s="7" t="s">
        <v>49</v>
      </c>
      <c r="B17" s="163" t="s">
        <v>766</v>
      </c>
      <c r="E17" s="26">
        <v>2014</v>
      </c>
      <c r="F17" s="26"/>
      <c r="G17" s="26"/>
      <c r="H17" s="26"/>
      <c r="I17" s="3"/>
      <c r="J17" s="344"/>
      <c r="K17" s="345"/>
      <c r="L17" s="345"/>
      <c r="M17" s="345"/>
      <c r="N17" s="345"/>
      <c r="P17" s="36">
        <v>2011</v>
      </c>
      <c r="Q17" s="36">
        <v>1030</v>
      </c>
      <c r="R17" s="36">
        <v>1035</v>
      </c>
      <c r="S17" s="36">
        <v>1040</v>
      </c>
      <c r="T17" s="36">
        <v>1050</v>
      </c>
      <c r="U17" s="36">
        <v>1070</v>
      </c>
      <c r="V17" s="36">
        <v>1075</v>
      </c>
      <c r="W17" s="36">
        <v>1090</v>
      </c>
      <c r="X17" s="36">
        <v>1095</v>
      </c>
      <c r="Y17" s="36">
        <v>1110</v>
      </c>
      <c r="Z17" s="36">
        <v>1110</v>
      </c>
      <c r="AA17" s="36">
        <v>1.0373829999999999</v>
      </c>
    </row>
    <row r="18" spans="1:27" ht="15" customHeight="1" x14ac:dyDescent="0.25">
      <c r="A18" s="7" t="s">
        <v>50</v>
      </c>
      <c r="B18" s="7" t="s">
        <v>368</v>
      </c>
      <c r="E18" s="26">
        <f>+E17+1</f>
        <v>2015</v>
      </c>
      <c r="F18" s="26"/>
      <c r="G18" s="26"/>
      <c r="H18" s="26"/>
      <c r="I18" s="3"/>
      <c r="J18" s="344" t="s">
        <v>91</v>
      </c>
      <c r="K18" s="345"/>
      <c r="L18" s="345"/>
      <c r="M18" s="345"/>
      <c r="N18" s="345"/>
      <c r="P18" s="36">
        <v>2012</v>
      </c>
      <c r="Q18" s="36">
        <v>1050</v>
      </c>
      <c r="R18" s="36">
        <v>1055</v>
      </c>
      <c r="S18" s="36">
        <v>1060</v>
      </c>
      <c r="T18" s="36">
        <v>1070</v>
      </c>
      <c r="U18" s="36">
        <v>1090</v>
      </c>
      <c r="V18" s="36">
        <v>1095</v>
      </c>
      <c r="W18" s="36">
        <v>1115</v>
      </c>
      <c r="X18" s="36">
        <v>1120</v>
      </c>
      <c r="Y18" s="36">
        <v>1125</v>
      </c>
      <c r="Z18" s="36">
        <v>1135</v>
      </c>
      <c r="AA18" s="36">
        <v>1.0321100000000001</v>
      </c>
    </row>
    <row r="19" spans="1:27" x14ac:dyDescent="0.25">
      <c r="A19" s="7" t="s">
        <v>51</v>
      </c>
      <c r="B19" s="7" t="s">
        <v>204</v>
      </c>
      <c r="C19" s="1" t="s">
        <v>52</v>
      </c>
      <c r="E19" s="26">
        <f t="shared" ref="E19:E36" si="0">+E18+1</f>
        <v>2016</v>
      </c>
      <c r="F19" s="26"/>
      <c r="G19" s="26"/>
      <c r="H19" s="26"/>
      <c r="I19" s="3"/>
      <c r="J19" s="344"/>
      <c r="K19" s="345"/>
      <c r="L19" s="345"/>
      <c r="M19" s="345"/>
      <c r="N19" s="345"/>
      <c r="P19" s="36">
        <v>2013</v>
      </c>
      <c r="Q19" s="36">
        <v>1065</v>
      </c>
      <c r="R19" s="36">
        <v>1070</v>
      </c>
      <c r="S19" s="36">
        <v>1075</v>
      </c>
      <c r="T19" s="36">
        <v>1085</v>
      </c>
      <c r="U19" s="36">
        <v>1105</v>
      </c>
      <c r="V19" s="36">
        <v>1110</v>
      </c>
      <c r="W19" s="36">
        <v>1130</v>
      </c>
      <c r="X19" s="36">
        <v>1135</v>
      </c>
      <c r="Y19" s="36">
        <v>1150</v>
      </c>
      <c r="Z19" s="36">
        <v>1150</v>
      </c>
      <c r="AA19" s="36">
        <v>1.040724</v>
      </c>
    </row>
    <row r="20" spans="1:27" ht="38.25" customHeight="1" x14ac:dyDescent="0.25">
      <c r="A20" s="7" t="s">
        <v>53</v>
      </c>
      <c r="B20" s="18" t="s">
        <v>387</v>
      </c>
      <c r="E20" s="26">
        <f t="shared" si="0"/>
        <v>2017</v>
      </c>
      <c r="F20" s="26"/>
      <c r="G20" s="26"/>
      <c r="H20" s="26"/>
      <c r="I20" s="3"/>
      <c r="J20" s="344"/>
      <c r="K20" s="345"/>
      <c r="L20" s="345"/>
      <c r="M20" s="345"/>
      <c r="N20" s="345"/>
      <c r="P20" s="36">
        <v>2014</v>
      </c>
      <c r="Q20" s="36">
        <v>1080</v>
      </c>
      <c r="R20" s="36">
        <v>1085</v>
      </c>
      <c r="S20" s="36">
        <v>1090</v>
      </c>
      <c r="T20" s="36">
        <v>1100</v>
      </c>
      <c r="U20" s="36">
        <v>1120</v>
      </c>
      <c r="V20" s="36">
        <v>1125</v>
      </c>
      <c r="W20" s="36">
        <v>1145</v>
      </c>
      <c r="X20" s="36">
        <v>1150</v>
      </c>
      <c r="Y20" s="36">
        <v>1165</v>
      </c>
      <c r="Z20" s="36">
        <v>1170</v>
      </c>
      <c r="AA20" s="36">
        <v>1.040179</v>
      </c>
    </row>
    <row r="21" spans="1:27" x14ac:dyDescent="0.25">
      <c r="A21" s="81" t="s">
        <v>41</v>
      </c>
      <c r="B21" s="381" t="s">
        <v>365</v>
      </c>
      <c r="E21" s="26">
        <f t="shared" si="0"/>
        <v>2018</v>
      </c>
      <c r="F21" s="26"/>
      <c r="G21" s="26"/>
      <c r="H21" s="26"/>
      <c r="I21" s="3"/>
      <c r="J21" s="344"/>
      <c r="K21" s="345"/>
      <c r="L21" s="345"/>
      <c r="M21" s="345"/>
      <c r="N21" s="345"/>
      <c r="P21" s="36">
        <v>2015</v>
      </c>
      <c r="Q21" s="36">
        <v>1095</v>
      </c>
      <c r="R21" s="36">
        <v>1100</v>
      </c>
      <c r="S21" s="36">
        <v>1105</v>
      </c>
      <c r="T21" s="36">
        <v>1115</v>
      </c>
      <c r="U21" s="36">
        <v>1135</v>
      </c>
      <c r="V21" s="36">
        <v>1140</v>
      </c>
      <c r="W21" s="36">
        <v>1160</v>
      </c>
      <c r="X21" s="36">
        <v>1165</v>
      </c>
      <c r="Y21" s="36">
        <v>1170</v>
      </c>
      <c r="Z21" s="36">
        <v>1180</v>
      </c>
      <c r="AA21" s="36">
        <v>1.030837</v>
      </c>
    </row>
    <row r="22" spans="1:27" ht="60.75" customHeight="1" x14ac:dyDescent="0.25">
      <c r="A22" s="81" t="s">
        <v>7</v>
      </c>
      <c r="B22" s="382"/>
      <c r="C22" s="1" t="s">
        <v>21</v>
      </c>
      <c r="E22" s="26">
        <f t="shared" si="0"/>
        <v>2019</v>
      </c>
      <c r="F22" s="26"/>
      <c r="G22" s="26"/>
      <c r="H22" s="26"/>
      <c r="I22" s="3"/>
      <c r="J22" s="356"/>
      <c r="K22" s="357"/>
      <c r="L22" s="357"/>
      <c r="M22" s="357"/>
      <c r="N22" s="357"/>
      <c r="P22" s="36">
        <v>2016</v>
      </c>
      <c r="Q22" s="36">
        <v>1105</v>
      </c>
      <c r="R22" s="36">
        <v>1110</v>
      </c>
      <c r="S22" s="36">
        <v>1115</v>
      </c>
      <c r="T22" s="36">
        <v>1125</v>
      </c>
      <c r="U22" s="36">
        <v>1145</v>
      </c>
      <c r="V22" s="36">
        <v>1150</v>
      </c>
      <c r="W22" s="36">
        <v>1170</v>
      </c>
      <c r="X22" s="36">
        <v>1175</v>
      </c>
      <c r="Y22" s="36">
        <v>1190</v>
      </c>
      <c r="Z22" s="36">
        <v>1195</v>
      </c>
      <c r="AA22" s="36">
        <v>1.039301</v>
      </c>
    </row>
    <row r="23" spans="1:27" x14ac:dyDescent="0.25">
      <c r="A23" s="81" t="s">
        <v>72</v>
      </c>
      <c r="B23" s="81"/>
      <c r="C23" s="1" t="s">
        <v>73</v>
      </c>
      <c r="E23" s="26">
        <f t="shared" si="0"/>
        <v>2020</v>
      </c>
      <c r="F23" s="26"/>
      <c r="G23" s="26"/>
      <c r="H23" s="26"/>
      <c r="I23" s="3"/>
      <c r="J23" s="27" t="s">
        <v>89</v>
      </c>
      <c r="K23" s="28"/>
      <c r="L23" s="28"/>
      <c r="M23" s="28"/>
      <c r="N23" s="29"/>
      <c r="P23" s="36">
        <v>2017</v>
      </c>
      <c r="Q23" s="36">
        <v>1115</v>
      </c>
      <c r="R23" s="36">
        <v>1120</v>
      </c>
      <c r="S23" s="36">
        <v>1125</v>
      </c>
      <c r="T23" s="36">
        <v>1135</v>
      </c>
      <c r="U23" s="36">
        <v>1155</v>
      </c>
      <c r="V23" s="36">
        <v>1160</v>
      </c>
      <c r="W23" s="36">
        <v>1180</v>
      </c>
      <c r="X23" s="36">
        <v>1185</v>
      </c>
      <c r="Y23" s="36">
        <v>1195</v>
      </c>
      <c r="Z23" s="36">
        <v>1205</v>
      </c>
      <c r="AA23" s="36">
        <v>1.034632</v>
      </c>
    </row>
    <row r="24" spans="1:27" x14ac:dyDescent="0.25">
      <c r="A24" s="81" t="s">
        <v>68</v>
      </c>
      <c r="B24" s="82" t="s">
        <v>399</v>
      </c>
      <c r="C24" s="1" t="s">
        <v>69</v>
      </c>
      <c r="E24" s="26">
        <f t="shared" si="0"/>
        <v>2021</v>
      </c>
      <c r="F24" s="26"/>
      <c r="G24" s="26"/>
      <c r="H24" s="26"/>
      <c r="I24" s="3"/>
      <c r="J24" s="335"/>
      <c r="K24" s="336"/>
      <c r="L24" s="336"/>
      <c r="M24" s="336"/>
      <c r="N24" s="337"/>
      <c r="P24" s="36">
        <v>2018</v>
      </c>
      <c r="Q24" s="36">
        <v>1125</v>
      </c>
      <c r="R24" s="36">
        <v>1130</v>
      </c>
      <c r="S24" s="36">
        <v>1140</v>
      </c>
      <c r="T24" s="36">
        <v>1150</v>
      </c>
      <c r="U24" s="36">
        <v>1170</v>
      </c>
      <c r="V24" s="36">
        <v>1175</v>
      </c>
      <c r="W24" s="36">
        <v>1195</v>
      </c>
      <c r="X24" s="36">
        <v>1200</v>
      </c>
      <c r="Y24" s="36">
        <v>1215</v>
      </c>
      <c r="Z24" s="36">
        <v>1215</v>
      </c>
      <c r="AA24" s="36">
        <v>1.038462</v>
      </c>
    </row>
    <row r="25" spans="1:27" ht="53.25" customHeight="1" x14ac:dyDescent="0.25">
      <c r="A25" s="81" t="s">
        <v>67</v>
      </c>
      <c r="B25" s="87" t="s">
        <v>443</v>
      </c>
      <c r="C25" s="1" t="s">
        <v>70</v>
      </c>
      <c r="E25" s="26">
        <f t="shared" si="0"/>
        <v>2022</v>
      </c>
      <c r="F25" s="26"/>
      <c r="G25" s="26"/>
      <c r="H25" s="26"/>
      <c r="I25" s="3"/>
      <c r="J25" s="338"/>
      <c r="K25" s="339"/>
      <c r="L25" s="339"/>
      <c r="M25" s="339"/>
      <c r="N25" s="340"/>
      <c r="P25" s="36">
        <v>2019</v>
      </c>
      <c r="Q25" s="36">
        <v>1135</v>
      </c>
      <c r="R25" s="36">
        <v>1140</v>
      </c>
      <c r="S25" s="36">
        <v>1150</v>
      </c>
      <c r="T25" s="36">
        <v>1160</v>
      </c>
      <c r="U25" s="36">
        <v>1180</v>
      </c>
      <c r="V25" s="36">
        <v>1185</v>
      </c>
      <c r="W25" s="36">
        <v>1205</v>
      </c>
      <c r="X25" s="36">
        <v>1210</v>
      </c>
      <c r="Y25" s="36">
        <v>1225</v>
      </c>
      <c r="Z25" s="36">
        <v>1230</v>
      </c>
      <c r="AA25" s="36">
        <v>1.0381359999999999</v>
      </c>
    </row>
    <row r="26" spans="1:27" ht="48.75" customHeight="1" x14ac:dyDescent="0.25">
      <c r="A26" s="64" t="s">
        <v>98</v>
      </c>
      <c r="B26" s="90" t="s">
        <v>364</v>
      </c>
      <c r="C26" s="1" t="s">
        <v>58</v>
      </c>
      <c r="E26" s="26">
        <f t="shared" si="0"/>
        <v>2023</v>
      </c>
      <c r="F26" s="26"/>
      <c r="G26" s="26"/>
      <c r="H26" s="26"/>
      <c r="I26" s="3"/>
      <c r="J26" s="341"/>
      <c r="K26" s="342"/>
      <c r="L26" s="342"/>
      <c r="M26" s="342"/>
      <c r="N26" s="343"/>
      <c r="P26" s="36">
        <v>2020</v>
      </c>
      <c r="Q26" s="36">
        <v>1145</v>
      </c>
      <c r="R26" s="36">
        <v>1150</v>
      </c>
      <c r="S26" s="36">
        <v>1155</v>
      </c>
      <c r="T26" s="36">
        <v>1170</v>
      </c>
      <c r="U26" s="36">
        <v>1190</v>
      </c>
      <c r="V26" s="36">
        <v>1195</v>
      </c>
      <c r="W26" s="36">
        <v>1215</v>
      </c>
      <c r="X26" s="36">
        <v>1225</v>
      </c>
      <c r="Y26" s="36">
        <v>1235</v>
      </c>
      <c r="Z26" s="36">
        <v>1240</v>
      </c>
      <c r="AA26" s="36">
        <v>1.0378149999999999</v>
      </c>
    </row>
    <row r="27" spans="1:27" x14ac:dyDescent="0.25">
      <c r="A27" s="3" t="s">
        <v>378</v>
      </c>
      <c r="B27" s="16" t="s">
        <v>274</v>
      </c>
      <c r="C27" s="1" t="s">
        <v>6</v>
      </c>
      <c r="E27" s="26">
        <f t="shared" si="0"/>
        <v>2024</v>
      </c>
      <c r="F27" s="26"/>
      <c r="G27" s="26"/>
      <c r="H27" s="26"/>
      <c r="I27" s="3"/>
      <c r="P27" s="36" t="s">
        <v>78</v>
      </c>
      <c r="Q27" s="36"/>
      <c r="R27" s="36"/>
      <c r="S27" s="36"/>
      <c r="T27" s="36"/>
      <c r="U27" s="36"/>
      <c r="V27" s="36"/>
      <c r="W27" s="36"/>
      <c r="X27" s="36"/>
      <c r="Y27" s="36"/>
      <c r="Z27" s="36"/>
      <c r="AA27" s="36"/>
    </row>
    <row r="28" spans="1:27" ht="34.5" customHeight="1" x14ac:dyDescent="0.25">
      <c r="A28" s="3" t="s">
        <v>55</v>
      </c>
      <c r="B28" s="17" t="s">
        <v>275</v>
      </c>
      <c r="C28" s="1" t="s">
        <v>54</v>
      </c>
      <c r="E28" s="26">
        <f t="shared" si="0"/>
        <v>2025</v>
      </c>
      <c r="F28" s="26"/>
      <c r="G28" s="26"/>
      <c r="H28" s="26"/>
      <c r="I28" s="3"/>
      <c r="J28" s="344" t="s">
        <v>96</v>
      </c>
      <c r="K28" s="345"/>
      <c r="L28" s="345"/>
      <c r="M28" s="345"/>
      <c r="N28" s="345"/>
      <c r="P28" s="36" t="s">
        <v>79</v>
      </c>
      <c r="Q28" s="36">
        <v>1030</v>
      </c>
      <c r="R28" s="36">
        <v>1035</v>
      </c>
      <c r="S28" s="36">
        <v>1035</v>
      </c>
      <c r="T28" s="36">
        <v>1035</v>
      </c>
      <c r="U28" s="36">
        <v>1045</v>
      </c>
      <c r="V28" s="36">
        <v>1050</v>
      </c>
      <c r="W28" s="36">
        <v>1055</v>
      </c>
      <c r="X28" s="36">
        <v>1055</v>
      </c>
      <c r="Y28" s="36">
        <v>1060</v>
      </c>
      <c r="Z28" s="36">
        <v>1070</v>
      </c>
      <c r="AA28" s="36">
        <v>1.014354</v>
      </c>
    </row>
    <row r="29" spans="1:27" ht="30.75" customHeight="1" x14ac:dyDescent="0.25">
      <c r="A29" s="3" t="s">
        <v>56</v>
      </c>
      <c r="B29" s="16"/>
      <c r="C29" s="1" t="s">
        <v>57</v>
      </c>
      <c r="E29" s="26">
        <f t="shared" si="0"/>
        <v>2026</v>
      </c>
      <c r="F29" s="26"/>
      <c r="G29" s="26"/>
      <c r="H29" s="26"/>
      <c r="I29" s="3"/>
      <c r="J29" s="344"/>
      <c r="K29" s="345"/>
      <c r="L29" s="345"/>
      <c r="M29" s="345"/>
      <c r="N29" s="345"/>
      <c r="P29" s="36" t="s">
        <v>80</v>
      </c>
      <c r="Q29" s="36">
        <v>1040</v>
      </c>
      <c r="R29" s="36">
        <v>1045</v>
      </c>
      <c r="S29" s="36">
        <v>1045</v>
      </c>
      <c r="T29" s="36">
        <v>1045</v>
      </c>
      <c r="U29" s="36">
        <v>1055</v>
      </c>
      <c r="V29" s="36">
        <v>1060</v>
      </c>
      <c r="W29" s="36">
        <v>1065</v>
      </c>
      <c r="X29" s="36">
        <v>1065</v>
      </c>
      <c r="Y29" s="36">
        <v>1070</v>
      </c>
      <c r="Z29" s="36">
        <v>1080</v>
      </c>
      <c r="AA29" s="36">
        <v>1.0142180000000001</v>
      </c>
    </row>
    <row r="30" spans="1:27" x14ac:dyDescent="0.25">
      <c r="A30" s="12"/>
      <c r="B30" s="13"/>
      <c r="E30" s="26">
        <f t="shared" si="0"/>
        <v>2027</v>
      </c>
      <c r="F30" s="26"/>
      <c r="G30" s="26"/>
      <c r="H30" s="26"/>
      <c r="I30" s="3"/>
      <c r="J30" s="344"/>
      <c r="K30" s="345"/>
      <c r="L30" s="345"/>
      <c r="M30" s="345"/>
      <c r="N30" s="345"/>
      <c r="P30" s="36" t="s">
        <v>81</v>
      </c>
      <c r="Q30" s="36">
        <v>1050</v>
      </c>
      <c r="R30" s="36">
        <v>1055</v>
      </c>
      <c r="S30" s="36">
        <v>1055</v>
      </c>
      <c r="T30" s="36">
        <v>1055</v>
      </c>
      <c r="U30" s="36">
        <v>1065</v>
      </c>
      <c r="V30" s="36">
        <v>1070</v>
      </c>
      <c r="W30" s="36">
        <v>1075</v>
      </c>
      <c r="X30" s="36">
        <v>1075</v>
      </c>
      <c r="Y30" s="36">
        <v>1080</v>
      </c>
      <c r="Z30" s="36">
        <v>1095</v>
      </c>
      <c r="AA30" s="36">
        <v>1.0140849999999999</v>
      </c>
    </row>
    <row r="31" spans="1:27" x14ac:dyDescent="0.25">
      <c r="A31" s="346" t="s">
        <v>71</v>
      </c>
      <c r="B31" s="346"/>
      <c r="E31" s="26">
        <f t="shared" si="0"/>
        <v>2028</v>
      </c>
      <c r="F31" s="26"/>
      <c r="G31" s="26"/>
      <c r="H31" s="26"/>
      <c r="I31" s="3"/>
      <c r="P31" s="36" t="s">
        <v>82</v>
      </c>
      <c r="Q31" s="36">
        <v>1055</v>
      </c>
      <c r="R31" s="36">
        <v>1060</v>
      </c>
      <c r="S31" s="36">
        <v>1060</v>
      </c>
      <c r="T31" s="36">
        <v>1060</v>
      </c>
      <c r="U31" s="36">
        <v>1070</v>
      </c>
      <c r="V31" s="36">
        <v>1075</v>
      </c>
      <c r="W31" s="36">
        <v>1080</v>
      </c>
      <c r="X31" s="36">
        <v>1080</v>
      </c>
      <c r="Y31" s="36">
        <v>1085</v>
      </c>
      <c r="Z31" s="36">
        <v>1095</v>
      </c>
      <c r="AA31" s="36">
        <v>1.014019</v>
      </c>
    </row>
    <row r="32" spans="1:27" x14ac:dyDescent="0.25">
      <c r="A32" s="3" t="s">
        <v>28</v>
      </c>
      <c r="B32" s="3"/>
      <c r="E32" s="26">
        <f t="shared" si="0"/>
        <v>2029</v>
      </c>
      <c r="F32" s="26"/>
      <c r="G32" s="26"/>
      <c r="H32" s="26"/>
      <c r="I32" s="3"/>
      <c r="P32" s="36" t="s">
        <v>83</v>
      </c>
      <c r="Q32" s="36">
        <v>1060</v>
      </c>
      <c r="R32" s="36">
        <v>1065</v>
      </c>
      <c r="S32" s="36">
        <v>1065</v>
      </c>
      <c r="T32" s="36">
        <v>1065</v>
      </c>
      <c r="U32" s="36">
        <v>1075</v>
      </c>
      <c r="V32" s="36">
        <v>1080</v>
      </c>
      <c r="W32" s="36">
        <v>1085</v>
      </c>
      <c r="X32" s="36">
        <v>1085</v>
      </c>
      <c r="Y32" s="36">
        <v>1090</v>
      </c>
      <c r="Z32" s="36">
        <v>1110</v>
      </c>
      <c r="AA32" s="36">
        <v>1.0139530000000001</v>
      </c>
    </row>
    <row r="33" spans="1:27" x14ac:dyDescent="0.25">
      <c r="A33" s="3" t="s">
        <v>29</v>
      </c>
      <c r="B33" s="3"/>
      <c r="E33" s="26">
        <f t="shared" si="0"/>
        <v>2030</v>
      </c>
      <c r="F33" s="26"/>
      <c r="G33" s="26"/>
      <c r="H33" s="26"/>
      <c r="I33" s="3"/>
      <c r="P33" s="36" t="s">
        <v>84</v>
      </c>
      <c r="Q33" s="36">
        <v>1065</v>
      </c>
      <c r="R33" s="36">
        <v>1070</v>
      </c>
      <c r="S33" s="36">
        <v>1070</v>
      </c>
      <c r="T33" s="36">
        <v>1070</v>
      </c>
      <c r="U33" s="36">
        <v>1080</v>
      </c>
      <c r="V33" s="36">
        <v>1085</v>
      </c>
      <c r="W33" s="36">
        <v>1090</v>
      </c>
      <c r="X33" s="36">
        <v>1090</v>
      </c>
      <c r="Y33" s="36">
        <v>1100</v>
      </c>
      <c r="Z33" s="36">
        <v>1110</v>
      </c>
      <c r="AA33" s="36">
        <v>1.018519</v>
      </c>
    </row>
    <row r="34" spans="1:27" ht="39.75" customHeight="1" x14ac:dyDescent="0.25">
      <c r="A34" s="3" t="s">
        <v>30</v>
      </c>
      <c r="B34" s="17"/>
      <c r="C34" s="1" t="s">
        <v>43</v>
      </c>
      <c r="E34" s="26">
        <f t="shared" si="0"/>
        <v>2031</v>
      </c>
      <c r="F34" s="26"/>
      <c r="G34" s="26"/>
      <c r="H34" s="26"/>
      <c r="I34" s="3"/>
      <c r="P34" s="36" t="s">
        <v>85</v>
      </c>
      <c r="Q34" s="36">
        <v>1075</v>
      </c>
      <c r="R34" s="36">
        <v>1080</v>
      </c>
      <c r="S34" s="36">
        <v>1080</v>
      </c>
      <c r="T34" s="36">
        <v>1080</v>
      </c>
      <c r="U34" s="36">
        <v>1090</v>
      </c>
      <c r="V34" s="36">
        <v>1095</v>
      </c>
      <c r="W34" s="36">
        <v>1100</v>
      </c>
      <c r="X34" s="36">
        <v>1100</v>
      </c>
      <c r="Y34" s="36">
        <v>1105</v>
      </c>
      <c r="Z34" s="36">
        <v>1120</v>
      </c>
      <c r="AA34" s="36">
        <v>1.0137609999999999</v>
      </c>
    </row>
    <row r="35" spans="1:27" x14ac:dyDescent="0.25">
      <c r="A35" s="3" t="s">
        <v>44</v>
      </c>
      <c r="B35" s="3"/>
      <c r="E35" s="26">
        <f t="shared" si="0"/>
        <v>2032</v>
      </c>
      <c r="F35" s="26"/>
      <c r="G35" s="26"/>
      <c r="H35" s="26"/>
      <c r="I35" s="3"/>
      <c r="P35" s="36" t="s">
        <v>86</v>
      </c>
      <c r="Q35" s="36">
        <v>1080</v>
      </c>
      <c r="R35" s="36">
        <v>1085</v>
      </c>
      <c r="S35" s="36">
        <v>1085</v>
      </c>
      <c r="T35" s="36">
        <v>1085</v>
      </c>
      <c r="U35" s="36">
        <v>1095</v>
      </c>
      <c r="V35" s="36">
        <v>1100</v>
      </c>
      <c r="W35" s="36">
        <v>1105</v>
      </c>
      <c r="X35" s="36">
        <v>1105</v>
      </c>
      <c r="Y35" s="36">
        <v>1110</v>
      </c>
      <c r="Z35" s="36">
        <v>1120</v>
      </c>
      <c r="AA35" s="36">
        <v>1.0136989999999999</v>
      </c>
    </row>
    <row r="36" spans="1:27" x14ac:dyDescent="0.25">
      <c r="A36" s="3" t="s">
        <v>47</v>
      </c>
      <c r="B36" s="3"/>
      <c r="E36" s="26">
        <f t="shared" si="0"/>
        <v>2033</v>
      </c>
      <c r="F36" s="26"/>
      <c r="G36" s="26"/>
      <c r="H36" s="26"/>
      <c r="I36" s="3"/>
      <c r="P36" s="36" t="s">
        <v>87</v>
      </c>
      <c r="Q36" s="36">
        <v>1085</v>
      </c>
      <c r="R36" s="36">
        <v>1090</v>
      </c>
      <c r="S36" s="36">
        <v>1090</v>
      </c>
      <c r="T36" s="36">
        <v>1090</v>
      </c>
      <c r="U36" s="36">
        <v>1100</v>
      </c>
      <c r="V36" s="36">
        <v>1105</v>
      </c>
      <c r="W36" s="36">
        <v>1110</v>
      </c>
      <c r="X36" s="36">
        <v>1110</v>
      </c>
      <c r="Y36" s="36">
        <v>1115</v>
      </c>
      <c r="Z36" s="36">
        <v>1125</v>
      </c>
      <c r="AA36" s="36">
        <v>1.013636</v>
      </c>
    </row>
    <row r="37" spans="1:27" x14ac:dyDescent="0.25">
      <c r="A37" s="3" t="s">
        <v>45</v>
      </c>
      <c r="B37" s="3"/>
      <c r="P37" s="36" t="s">
        <v>88</v>
      </c>
      <c r="Q37" s="36">
        <v>1090</v>
      </c>
      <c r="R37" s="36">
        <v>1095</v>
      </c>
      <c r="S37" s="36">
        <v>1095</v>
      </c>
      <c r="T37" s="36">
        <v>1095</v>
      </c>
      <c r="U37" s="36">
        <v>1105</v>
      </c>
      <c r="V37" s="36">
        <v>1110</v>
      </c>
      <c r="W37" s="36">
        <v>1115</v>
      </c>
      <c r="X37" s="36">
        <v>1115</v>
      </c>
      <c r="Y37" s="36">
        <v>1120</v>
      </c>
      <c r="Z37" s="36">
        <v>1130</v>
      </c>
      <c r="AA37" s="36">
        <v>1.0135749999999999</v>
      </c>
    </row>
    <row r="38" spans="1:27" x14ac:dyDescent="0.25">
      <c r="A38" s="3" t="s">
        <v>46</v>
      </c>
      <c r="B38" s="3"/>
    </row>
    <row r="39" spans="1:27" ht="16.5" customHeight="1" x14ac:dyDescent="0.25">
      <c r="A39" s="84"/>
    </row>
    <row r="63" spans="3:8" x14ac:dyDescent="0.25">
      <c r="C63"/>
      <c r="E63"/>
      <c r="F63"/>
      <c r="G63"/>
      <c r="H63"/>
    </row>
  </sheetData>
  <mergeCells count="10">
    <mergeCell ref="D1:J1"/>
    <mergeCell ref="J24:N26"/>
    <mergeCell ref="J28:N30"/>
    <mergeCell ref="A31:B31"/>
    <mergeCell ref="A11:B11"/>
    <mergeCell ref="E14:I14"/>
    <mergeCell ref="E15:H15"/>
    <mergeCell ref="J16:N17"/>
    <mergeCell ref="J18:N22"/>
    <mergeCell ref="B21:B22"/>
  </mergeCells>
  <pageMargins left="0.7" right="0.7" top="0.75" bottom="0.75" header="0.3" footer="0.3"/>
  <pageSetup scale="56"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5703125" style="121" customWidth="1"/>
  </cols>
  <sheetData>
    <row r="1" spans="1:27" ht="96" customHeight="1" x14ac:dyDescent="0.3">
      <c r="A1" s="114" t="s">
        <v>293</v>
      </c>
      <c r="B1" s="45"/>
      <c r="D1" s="347" t="s">
        <v>520</v>
      </c>
      <c r="E1" s="348"/>
      <c r="F1" s="348"/>
      <c r="G1" s="348"/>
      <c r="H1" s="349"/>
    </row>
    <row r="2" spans="1:27" ht="15.75" x14ac:dyDescent="0.25">
      <c r="A2" s="149" t="s">
        <v>514</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293</v>
      </c>
    </row>
    <row r="8" spans="1:27" ht="233.25" customHeight="1" x14ac:dyDescent="0.25">
      <c r="A8" s="3" t="s">
        <v>2</v>
      </c>
      <c r="B8" s="156" t="s">
        <v>516</v>
      </c>
    </row>
    <row r="9" spans="1:27" ht="252.75" customHeight="1" x14ac:dyDescent="0.25">
      <c r="A9" s="3" t="s">
        <v>238</v>
      </c>
      <c r="B9" s="157" t="s">
        <v>515</v>
      </c>
      <c r="E9" s="352" t="s">
        <v>100</v>
      </c>
      <c r="F9" s="352"/>
      <c r="G9" s="352"/>
      <c r="H9" s="352"/>
      <c r="I9" s="352"/>
    </row>
    <row r="10" spans="1:27" ht="25.5" customHeight="1" thickBot="1" x14ac:dyDescent="0.3">
      <c r="A10" s="3" t="s">
        <v>1</v>
      </c>
      <c r="B10" s="3"/>
      <c r="C10" s="1" t="s">
        <v>48</v>
      </c>
      <c r="E10" s="353" t="s">
        <v>53</v>
      </c>
      <c r="F10" s="354"/>
      <c r="G10" s="354"/>
      <c r="H10" s="355"/>
      <c r="I10" s="3" t="str">
        <f>B15</f>
        <v>Not load driven</v>
      </c>
      <c r="J10" t="s">
        <v>74</v>
      </c>
      <c r="P10" s="36" t="s">
        <v>76</v>
      </c>
      <c r="Q10" s="36"/>
      <c r="R10" s="36"/>
      <c r="S10" s="36"/>
      <c r="T10" s="36"/>
      <c r="U10" s="36"/>
      <c r="V10" s="36"/>
      <c r="W10" s="36"/>
      <c r="X10" s="36"/>
      <c r="Y10" s="36"/>
      <c r="Z10" s="36"/>
      <c r="AA10" s="36"/>
    </row>
    <row r="11" spans="1:27" ht="48" customHeight="1" thickBot="1" x14ac:dyDescent="0.3">
      <c r="A11" s="3" t="s">
        <v>4</v>
      </c>
      <c r="B11" s="3" t="s">
        <v>492</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517</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t="s">
        <v>517</v>
      </c>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0" t="s">
        <v>41</v>
      </c>
      <c r="B16" s="358"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0" t="s">
        <v>7</v>
      </c>
      <c r="B17" s="359"/>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5" customHeight="1" x14ac:dyDescent="0.25">
      <c r="A21" s="3" t="s">
        <v>98</v>
      </c>
      <c r="B21" s="144" t="s">
        <v>519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ht="21" customHeight="1" x14ac:dyDescent="0.25">
      <c r="A22" s="3" t="s">
        <v>5</v>
      </c>
      <c r="B22" s="178" t="s">
        <v>518</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8.75" customHeight="1" x14ac:dyDescent="0.25">
      <c r="A34" s="84"/>
    </row>
    <row r="57" spans="3:8" x14ac:dyDescent="0.25">
      <c r="C57"/>
      <c r="E57"/>
      <c r="F57"/>
      <c r="G57"/>
      <c r="H57"/>
    </row>
    <row r="58" spans="3:8" x14ac:dyDescent="0.25">
      <c r="C58"/>
      <c r="E58"/>
      <c r="F58"/>
      <c r="G58"/>
      <c r="H58"/>
    </row>
  </sheetData>
  <mergeCells count="10">
    <mergeCell ref="D1:H1"/>
    <mergeCell ref="J19:N21"/>
    <mergeCell ref="J23:N25"/>
    <mergeCell ref="A26:B26"/>
    <mergeCell ref="A6:B6"/>
    <mergeCell ref="E9:I9"/>
    <mergeCell ref="E10:H10"/>
    <mergeCell ref="J11:N12"/>
    <mergeCell ref="J13:N17"/>
    <mergeCell ref="B16:B17"/>
  </mergeCells>
  <pageMargins left="0.7" right="0.7" top="0.75" bottom="0.75" header="0.3" footer="0.3"/>
  <pageSetup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AA57"/>
  <sheetViews>
    <sheetView topLeftCell="A19"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389</v>
      </c>
      <c r="B1" s="45"/>
      <c r="D1" s="347" t="s">
        <v>440</v>
      </c>
      <c r="E1" s="348"/>
      <c r="F1" s="348"/>
      <c r="G1" s="348"/>
      <c r="H1" s="349"/>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389</v>
      </c>
    </row>
    <row r="8" spans="1:27" ht="168" customHeight="1" x14ac:dyDescent="0.25">
      <c r="A8" s="3" t="s">
        <v>2</v>
      </c>
      <c r="B8" s="155" t="s">
        <v>400</v>
      </c>
      <c r="E8" s="352" t="s">
        <v>100</v>
      </c>
      <c r="F8" s="352"/>
      <c r="G8" s="352"/>
      <c r="H8" s="352"/>
      <c r="I8" s="352"/>
    </row>
    <row r="9" spans="1:27" ht="15.75" thickBot="1" x14ac:dyDescent="0.3">
      <c r="A9" s="3" t="s">
        <v>1</v>
      </c>
      <c r="B9" s="145"/>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31.15" customHeight="1" x14ac:dyDescent="0.25">
      <c r="A20" s="3" t="s">
        <v>98</v>
      </c>
      <c r="B20" s="177" t="s">
        <v>438</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t="s">
        <v>439</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393</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42"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1" t="s">
        <v>416</v>
      </c>
      <c r="B1" s="45"/>
      <c r="D1" s="378" t="s">
        <v>481</v>
      </c>
      <c r="E1" s="379"/>
      <c r="F1" s="379"/>
      <c r="G1" s="379"/>
      <c r="H1" s="380"/>
    </row>
    <row r="2" spans="1:27" ht="22.5" customHeight="1" x14ac:dyDescent="0.25">
      <c r="A2" s="58" t="s">
        <v>460</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64" t="s">
        <v>390</v>
      </c>
    </row>
    <row r="8" spans="1:27" ht="191.25" customHeight="1" x14ac:dyDescent="0.25">
      <c r="A8" s="3" t="s">
        <v>2</v>
      </c>
      <c r="B8" s="172" t="s">
        <v>523</v>
      </c>
      <c r="E8" s="352" t="s">
        <v>100</v>
      </c>
      <c r="F8" s="352"/>
      <c r="G8" s="352"/>
      <c r="H8" s="352"/>
      <c r="I8" s="352"/>
    </row>
    <row r="9" spans="1:27" ht="191.25" customHeight="1" x14ac:dyDescent="0.25">
      <c r="A9" s="3" t="s">
        <v>238</v>
      </c>
      <c r="B9" s="172" t="s">
        <v>524</v>
      </c>
      <c r="E9" s="176"/>
      <c r="F9" s="176"/>
      <c r="G9" s="176"/>
      <c r="H9" s="176"/>
      <c r="I9" s="176"/>
    </row>
    <row r="10" spans="1:27" ht="15.75" thickBot="1" x14ac:dyDescent="0.3">
      <c r="A10" s="3" t="s">
        <v>1</v>
      </c>
      <c r="B10" s="64"/>
      <c r="C10" s="1" t="s">
        <v>48</v>
      </c>
      <c r="E10" s="353" t="s">
        <v>53</v>
      </c>
      <c r="F10" s="354"/>
      <c r="G10" s="354"/>
      <c r="H10" s="355"/>
      <c r="I10" s="3" t="str">
        <f>B15</f>
        <v>Not load driven</v>
      </c>
      <c r="J10" t="s">
        <v>74</v>
      </c>
      <c r="P10" s="36" t="s">
        <v>76</v>
      </c>
      <c r="Q10" s="36"/>
      <c r="R10" s="36"/>
      <c r="S10" s="36"/>
      <c r="T10" s="36"/>
      <c r="U10" s="36"/>
      <c r="V10" s="36"/>
      <c r="W10" s="36"/>
      <c r="X10" s="36"/>
      <c r="Y10" s="36"/>
      <c r="Z10" s="36"/>
      <c r="AA10" s="36"/>
    </row>
    <row r="11" spans="1:27" ht="48" customHeight="1" thickBot="1" x14ac:dyDescent="0.3">
      <c r="A11" s="3" t="s">
        <v>4</v>
      </c>
      <c r="B11" s="64" t="s">
        <v>492</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14" t="s">
        <v>415</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14"/>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14" t="s">
        <v>204</v>
      </c>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98" t="s">
        <v>517</v>
      </c>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0" t="s">
        <v>41</v>
      </c>
      <c r="B16" s="381" t="s">
        <v>417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0" t="s">
        <v>7</v>
      </c>
      <c r="B17" s="382"/>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90" t="s">
        <v>522</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v>541000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191</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48">
        <f>B22/6</f>
        <v>90166.666666666672</v>
      </c>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3">
      <c r="A1" s="114" t="s">
        <v>482</v>
      </c>
      <c r="B1" s="45"/>
      <c r="C1" s="347" t="s">
        <v>487</v>
      </c>
      <c r="D1" s="348"/>
      <c r="E1" s="348"/>
      <c r="F1" s="348"/>
      <c r="G1" s="349"/>
    </row>
    <row r="2" spans="1:27" x14ac:dyDescent="0.25">
      <c r="A2" s="58" t="s">
        <v>460</v>
      </c>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3" t="str">
        <f>+A1</f>
        <v>Line 107 Bethel Sub to P269</v>
      </c>
    </row>
    <row r="8" spans="1:27" ht="182.25" customHeight="1" x14ac:dyDescent="0.25">
      <c r="A8" s="3" t="s">
        <v>2</v>
      </c>
      <c r="B8" s="163" t="s">
        <v>486</v>
      </c>
      <c r="E8" s="352" t="s">
        <v>100</v>
      </c>
      <c r="F8" s="352"/>
      <c r="G8" s="352"/>
      <c r="H8" s="352"/>
      <c r="I8" s="352"/>
    </row>
    <row r="9" spans="1:27" ht="15.75" thickBot="1" x14ac:dyDescent="0.3">
      <c r="A9" s="3" t="s">
        <v>1</v>
      </c>
      <c r="B9" s="3"/>
      <c r="C9" s="1" t="s">
        <v>48</v>
      </c>
      <c r="E9" s="353" t="s">
        <v>53</v>
      </c>
      <c r="F9" s="354"/>
      <c r="G9" s="354"/>
      <c r="H9" s="355"/>
      <c r="I9" s="3" t="str">
        <f>B14</f>
        <v>24.5 MVA (Rating 3/0 ACSR)</v>
      </c>
      <c r="J9" t="s">
        <v>74</v>
      </c>
      <c r="P9" s="36" t="s">
        <v>76</v>
      </c>
      <c r="Q9" s="36"/>
      <c r="R9" s="36"/>
      <c r="S9" s="36"/>
      <c r="T9" s="36"/>
      <c r="U9" s="36"/>
      <c r="V9" s="36"/>
      <c r="W9" s="36"/>
      <c r="X9" s="36"/>
      <c r="Y9" s="36"/>
      <c r="Z9" s="36"/>
      <c r="AA9" s="36"/>
    </row>
    <row r="10" spans="1:27" ht="48" customHeight="1" thickBot="1" x14ac:dyDescent="0.3">
      <c r="A10" s="3" t="s">
        <v>4</v>
      </c>
      <c r="B10" s="3" t="s">
        <v>483</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383</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t="s">
        <v>484</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76" t="s">
        <v>485</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369.75" customHeight="1" x14ac:dyDescent="0.25">
      <c r="A16" s="80" t="s">
        <v>7</v>
      </c>
      <c r="B16" s="382"/>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90" t="s">
        <v>488</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v>146023</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f>+B21/6</f>
        <v>24337.166666666668</v>
      </c>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ht="15.75" customHeight="1" x14ac:dyDescent="0.25">
      <c r="A33" s="84"/>
    </row>
    <row r="34" spans="1:2" x14ac:dyDescent="0.25">
      <c r="B34" s="58" t="s">
        <v>412</v>
      </c>
    </row>
    <row r="35" spans="1:2" x14ac:dyDescent="0.25">
      <c r="A35" s="58">
        <v>1.0152000000000001</v>
      </c>
      <c r="B35" s="58" t="s">
        <v>411</v>
      </c>
    </row>
    <row r="36" spans="1:2" x14ac:dyDescent="0.25">
      <c r="A36" s="58"/>
      <c r="B36" s="58"/>
    </row>
    <row r="37" spans="1:2" x14ac:dyDescent="0.25">
      <c r="A37" s="58">
        <v>2012</v>
      </c>
      <c r="B37" s="152">
        <v>2500000</v>
      </c>
    </row>
    <row r="38" spans="1:2" x14ac:dyDescent="0.25">
      <c r="A38" s="58">
        <v>2013</v>
      </c>
      <c r="B38" s="152">
        <v>2538000</v>
      </c>
    </row>
    <row r="39" spans="1:2" x14ac:dyDescent="0.25">
      <c r="A39" s="58">
        <v>2014</v>
      </c>
      <c r="B39" s="152">
        <v>2576578</v>
      </c>
    </row>
    <row r="40" spans="1:2" x14ac:dyDescent="0.25">
      <c r="A40" s="58">
        <v>2015</v>
      </c>
      <c r="B40" s="152">
        <v>2615742</v>
      </c>
    </row>
    <row r="41" spans="1:2" x14ac:dyDescent="0.25">
      <c r="A41" s="58">
        <v>2016</v>
      </c>
      <c r="B41" s="152">
        <v>2655501</v>
      </c>
    </row>
    <row r="42" spans="1:2" x14ac:dyDescent="0.25">
      <c r="A42" s="58">
        <v>2017</v>
      </c>
      <c r="B42" s="152">
        <v>2695864</v>
      </c>
    </row>
    <row r="56" customFormat="1" x14ac:dyDescent="0.25"/>
    <row r="57" customFormat="1" x14ac:dyDescent="0.25"/>
  </sheetData>
  <mergeCells count="10">
    <mergeCell ref="J18:N20"/>
    <mergeCell ref="J22:N24"/>
    <mergeCell ref="A25:B25"/>
    <mergeCell ref="C1:G1"/>
    <mergeCell ref="A6:B6"/>
    <mergeCell ref="E8:I8"/>
    <mergeCell ref="E9:H9"/>
    <mergeCell ref="J10:N11"/>
    <mergeCell ref="J12:N16"/>
    <mergeCell ref="B15:B16"/>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3">
      <c r="A1" s="111" t="s">
        <v>427</v>
      </c>
      <c r="B1" s="45"/>
      <c r="C1" s="378" t="s">
        <v>430</v>
      </c>
      <c r="D1" s="379"/>
      <c r="E1" s="379"/>
      <c r="F1" s="379"/>
      <c r="G1" s="380"/>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153" t="s">
        <v>428</v>
      </c>
    </row>
    <row r="8" spans="1:27" ht="150" customHeight="1" x14ac:dyDescent="0.25">
      <c r="A8" s="3" t="s">
        <v>2</v>
      </c>
      <c r="B8" s="167" t="s">
        <v>431</v>
      </c>
      <c r="E8" s="352" t="s">
        <v>100</v>
      </c>
      <c r="F8" s="352"/>
      <c r="G8" s="352"/>
      <c r="H8" s="352"/>
      <c r="I8" s="352"/>
    </row>
    <row r="9" spans="1:27" ht="15.75" thickBot="1" x14ac:dyDescent="0.3">
      <c r="A9" s="3" t="s">
        <v>1</v>
      </c>
      <c r="B9" s="15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153" t="s">
        <v>102</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11" t="s">
        <v>429</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1"/>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11"/>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47"/>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89"/>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3" customHeight="1" x14ac:dyDescent="0.25">
      <c r="A16" s="80" t="s">
        <v>7</v>
      </c>
      <c r="B16" s="390"/>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166"/>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168"/>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166"/>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169">
        <v>2018</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v>252000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0"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ht="15.75" customHeight="1" x14ac:dyDescent="0.25">
      <c r="A33" s="84"/>
    </row>
    <row r="34" spans="1:2" x14ac:dyDescent="0.25">
      <c r="B34" s="58"/>
    </row>
    <row r="35" spans="1:2" x14ac:dyDescent="0.25">
      <c r="A35" s="58"/>
      <c r="B35" s="58"/>
    </row>
    <row r="36" spans="1:2" x14ac:dyDescent="0.25">
      <c r="A36" s="58"/>
      <c r="B36" s="58"/>
    </row>
    <row r="37" spans="1:2" x14ac:dyDescent="0.25">
      <c r="A37" s="58"/>
      <c r="B37" s="152"/>
    </row>
    <row r="38" spans="1:2" x14ac:dyDescent="0.25">
      <c r="A38" s="58"/>
      <c r="B38" s="152"/>
    </row>
    <row r="39" spans="1:2" x14ac:dyDescent="0.25">
      <c r="A39" s="58"/>
      <c r="B39" s="152"/>
    </row>
    <row r="40" spans="1:2" x14ac:dyDescent="0.25">
      <c r="A40" s="58"/>
      <c r="B40" s="152"/>
    </row>
    <row r="41" spans="1:2" x14ac:dyDescent="0.25">
      <c r="A41" s="58"/>
      <c r="B41" s="152"/>
    </row>
    <row r="42" spans="1:2" x14ac:dyDescent="0.25">
      <c r="A42" s="58"/>
      <c r="B42" s="152"/>
    </row>
    <row r="56" customFormat="1" x14ac:dyDescent="0.25"/>
    <row r="57" customFormat="1" x14ac:dyDescent="0.25"/>
  </sheetData>
  <mergeCells count="10">
    <mergeCell ref="J18:N20"/>
    <mergeCell ref="J22:N24"/>
    <mergeCell ref="A25:B25"/>
    <mergeCell ref="C1:G1"/>
    <mergeCell ref="A6:B6"/>
    <mergeCell ref="E8:I8"/>
    <mergeCell ref="E9:H9"/>
    <mergeCell ref="J10:N11"/>
    <mergeCell ref="J12:N16"/>
    <mergeCell ref="B15:B16"/>
  </mergeCells>
  <pageMargins left="0.7" right="0.7" top="0.75" bottom="0.75" header="0.3" footer="0.3"/>
  <pageSetup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pageSetUpPr fitToPage="1"/>
  </sheetPr>
  <dimension ref="A1:AC63"/>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0" max="10" width="14.7109375" customWidth="1"/>
    <col min="14" max="14" width="4.42578125" customWidth="1"/>
    <col min="18" max="18" width="12.7109375" style="121" customWidth="1"/>
  </cols>
  <sheetData>
    <row r="1" spans="1:29" ht="58.5" customHeight="1" x14ac:dyDescent="0.3">
      <c r="A1" s="112" t="s">
        <v>107</v>
      </c>
      <c r="B1" s="10"/>
      <c r="D1" s="442" t="s">
        <v>360</v>
      </c>
      <c r="E1" s="443"/>
      <c r="F1" s="443"/>
      <c r="G1" s="443"/>
      <c r="H1" s="444"/>
    </row>
    <row r="2" spans="1:29" ht="21" customHeight="1" x14ac:dyDescent="0.25"/>
    <row r="3" spans="1:29" ht="15" customHeight="1" x14ac:dyDescent="0.25">
      <c r="A3" s="2" t="s">
        <v>8</v>
      </c>
      <c r="B3" s="2"/>
    </row>
    <row r="4" spans="1:29" ht="15" customHeight="1" x14ac:dyDescent="0.25">
      <c r="A4" s="9" t="s">
        <v>9</v>
      </c>
      <c r="B4" s="9"/>
    </row>
    <row r="5" spans="1:29" x14ac:dyDescent="0.25">
      <c r="C5" s="1" t="s">
        <v>31</v>
      </c>
    </row>
    <row r="6" spans="1:29" x14ac:dyDescent="0.25">
      <c r="C6"/>
      <c r="E6" s="353" t="s">
        <v>313</v>
      </c>
      <c r="F6" s="354"/>
      <c r="G6" s="354"/>
      <c r="H6" s="354"/>
      <c r="I6" s="354"/>
      <c r="J6" s="355"/>
    </row>
    <row r="7" spans="1:29" ht="61.5" customHeight="1" thickBot="1" x14ac:dyDescent="0.3">
      <c r="A7" s="445" t="s">
        <v>10</v>
      </c>
      <c r="B7" s="446"/>
      <c r="E7" s="30" t="s">
        <v>75</v>
      </c>
      <c r="F7" s="31" t="s">
        <v>314</v>
      </c>
      <c r="G7" s="31" t="s">
        <v>315</v>
      </c>
      <c r="H7" s="31" t="s">
        <v>316</v>
      </c>
      <c r="I7" s="31" t="s">
        <v>317</v>
      </c>
      <c r="J7" s="31" t="s">
        <v>318</v>
      </c>
      <c r="L7" s="438" t="s">
        <v>319</v>
      </c>
      <c r="M7" s="439"/>
      <c r="O7" s="438" t="s">
        <v>320</v>
      </c>
      <c r="P7" s="439"/>
      <c r="R7" s="21" t="s">
        <v>76</v>
      </c>
      <c r="S7" s="21"/>
      <c r="T7" s="21"/>
      <c r="U7" s="21"/>
      <c r="V7" s="21"/>
      <c r="W7" s="21"/>
      <c r="X7" s="21"/>
      <c r="Y7" s="21"/>
      <c r="Z7" s="21"/>
      <c r="AA7" s="21"/>
      <c r="AB7" s="21"/>
      <c r="AC7" s="21"/>
    </row>
    <row r="8" spans="1:29" ht="33.75" customHeight="1" thickBot="1" x14ac:dyDescent="0.3">
      <c r="A8" s="3" t="s">
        <v>0</v>
      </c>
      <c r="B8" s="3" t="s">
        <v>321</v>
      </c>
      <c r="E8" s="30">
        <v>2012</v>
      </c>
      <c r="F8" s="124">
        <v>33.200000000000003</v>
      </c>
      <c r="G8" s="124">
        <v>33.200000000000003</v>
      </c>
      <c r="H8" s="124">
        <v>33.200000000000003</v>
      </c>
      <c r="I8" s="124">
        <v>33.200000000000003</v>
      </c>
      <c r="J8" s="124">
        <v>33.200000000000003</v>
      </c>
      <c r="L8" s="125" t="s">
        <v>322</v>
      </c>
      <c r="M8" s="126">
        <v>2.39</v>
      </c>
      <c r="O8" s="125" t="s">
        <v>322</v>
      </c>
      <c r="P8" s="126">
        <v>1.53</v>
      </c>
      <c r="R8" s="21" t="s">
        <v>77</v>
      </c>
      <c r="S8" s="22">
        <v>0.9</v>
      </c>
      <c r="T8" s="23">
        <v>0.8</v>
      </c>
      <c r="U8" s="23">
        <v>0.7</v>
      </c>
      <c r="V8" s="24">
        <v>0.6</v>
      </c>
      <c r="W8" s="22">
        <v>0.5</v>
      </c>
      <c r="X8" s="23">
        <v>0.4</v>
      </c>
      <c r="Y8" s="23">
        <v>0.3</v>
      </c>
      <c r="Z8" s="23">
        <v>0.2</v>
      </c>
      <c r="AA8" s="23">
        <v>0.1</v>
      </c>
      <c r="AB8" s="23">
        <v>0.05</v>
      </c>
      <c r="AC8" s="25">
        <v>18537</v>
      </c>
    </row>
    <row r="9" spans="1:29" ht="91.5" customHeight="1" x14ac:dyDescent="0.25">
      <c r="A9" s="3" t="s">
        <v>2</v>
      </c>
      <c r="B9" s="35" t="s">
        <v>323</v>
      </c>
      <c r="E9" s="26">
        <v>2013</v>
      </c>
      <c r="F9" s="127">
        <v>35.96</v>
      </c>
      <c r="G9" s="127">
        <v>35.96</v>
      </c>
      <c r="H9" s="127">
        <v>35.96</v>
      </c>
      <c r="I9" s="127">
        <v>35.96</v>
      </c>
      <c r="J9" s="127">
        <v>35.96</v>
      </c>
      <c r="L9" s="125" t="s">
        <v>324</v>
      </c>
      <c r="M9" s="128">
        <v>4.97</v>
      </c>
      <c r="O9" s="125" t="s">
        <v>324</v>
      </c>
      <c r="P9" s="128">
        <v>2.41</v>
      </c>
      <c r="R9" s="21">
        <v>2011</v>
      </c>
      <c r="S9" s="21">
        <v>1030</v>
      </c>
      <c r="T9" s="21">
        <v>1035</v>
      </c>
      <c r="U9" s="21">
        <v>1040</v>
      </c>
      <c r="V9" s="21">
        <v>1050</v>
      </c>
      <c r="W9" s="21">
        <v>1070</v>
      </c>
      <c r="X9" s="21">
        <v>1075</v>
      </c>
      <c r="Y9" s="21">
        <v>1090</v>
      </c>
      <c r="Z9" s="21">
        <v>1095</v>
      </c>
      <c r="AA9" s="21">
        <v>1110</v>
      </c>
      <c r="AB9" s="21">
        <v>1110</v>
      </c>
      <c r="AC9" s="21">
        <v>1.0373829999999999</v>
      </c>
    </row>
    <row r="10" spans="1:29" ht="79.5" customHeight="1" x14ac:dyDescent="0.25">
      <c r="A10" s="3" t="s">
        <v>238</v>
      </c>
      <c r="B10" s="35" t="s">
        <v>325</v>
      </c>
      <c r="E10" s="26"/>
      <c r="F10" s="127"/>
      <c r="G10" s="127"/>
      <c r="H10" s="127"/>
      <c r="I10" s="127"/>
      <c r="J10" s="127"/>
      <c r="L10" s="125"/>
      <c r="M10" s="128"/>
      <c r="O10" s="125"/>
      <c r="P10" s="128"/>
      <c r="R10" s="21">
        <v>2012</v>
      </c>
      <c r="S10" s="21">
        <v>1050</v>
      </c>
      <c r="T10" s="21">
        <v>1055</v>
      </c>
      <c r="U10" s="21">
        <v>1060</v>
      </c>
      <c r="V10" s="21">
        <v>1070</v>
      </c>
      <c r="W10" s="21">
        <v>1090</v>
      </c>
      <c r="X10" s="21">
        <v>1095</v>
      </c>
      <c r="Y10" s="21">
        <v>1115</v>
      </c>
      <c r="Z10" s="21">
        <v>1120</v>
      </c>
      <c r="AA10" s="21">
        <v>1125</v>
      </c>
      <c r="AB10" s="21">
        <v>1135</v>
      </c>
      <c r="AC10" s="21">
        <v>1.0321100000000001</v>
      </c>
    </row>
    <row r="11" spans="1:29" x14ac:dyDescent="0.25">
      <c r="A11" s="3" t="s">
        <v>1</v>
      </c>
      <c r="B11" s="3" t="s">
        <v>101</v>
      </c>
      <c r="C11" s="1" t="s">
        <v>48</v>
      </c>
      <c r="E11" s="26">
        <v>2014</v>
      </c>
      <c r="F11" s="34">
        <f>+(F9* 1.01)+(1.1 * 0.42)</f>
        <v>36.781600000000005</v>
      </c>
      <c r="G11" s="34">
        <f>+(G9*1.015)+(1.1*0.42)</f>
        <v>36.961399999999998</v>
      </c>
      <c r="H11" s="34">
        <f>+(H9* 1.02)+(1.1 * 0.42)</f>
        <v>37.141200000000005</v>
      </c>
      <c r="I11" s="34">
        <f>+(I9* 1.025)+(1.1 * 0.42)</f>
        <v>37.320999999999998</v>
      </c>
      <c r="J11" s="34">
        <f>+(J9* 1.03)+(1.1 * 0.42)</f>
        <v>37.500800000000005</v>
      </c>
      <c r="L11" s="125" t="s">
        <v>326</v>
      </c>
      <c r="M11" s="129">
        <v>4.03</v>
      </c>
      <c r="O11" s="125" t="s">
        <v>326</v>
      </c>
      <c r="P11" s="129">
        <v>3.48</v>
      </c>
      <c r="R11" s="21">
        <v>2013</v>
      </c>
      <c r="S11" s="21">
        <v>1065</v>
      </c>
      <c r="T11" s="21">
        <v>1070</v>
      </c>
      <c r="U11" s="21">
        <v>1075</v>
      </c>
      <c r="V11" s="21">
        <v>1085</v>
      </c>
      <c r="W11" s="21">
        <v>1105</v>
      </c>
      <c r="X11" s="21">
        <v>1110</v>
      </c>
      <c r="Y11" s="21">
        <v>1130</v>
      </c>
      <c r="Z11" s="21">
        <v>1135</v>
      </c>
      <c r="AA11" s="21">
        <v>1150</v>
      </c>
      <c r="AB11" s="21">
        <v>1150</v>
      </c>
      <c r="AC11" s="21">
        <v>1.040724</v>
      </c>
    </row>
    <row r="12" spans="1:29" ht="30.75" customHeight="1" x14ac:dyDescent="0.25">
      <c r="A12" s="3" t="s">
        <v>4</v>
      </c>
      <c r="B12" s="3" t="s">
        <v>327</v>
      </c>
      <c r="C12" s="1" t="s">
        <v>3</v>
      </c>
      <c r="E12" s="26">
        <v>2015</v>
      </c>
      <c r="F12" s="34">
        <f>+(F11*1.01)+(1.2*0.42)</f>
        <v>37.653416</v>
      </c>
      <c r="G12" s="34">
        <f>+(G11*1.015)+(1.2*0.42)</f>
        <v>38.019820999999993</v>
      </c>
      <c r="H12" s="34">
        <f>+(H11*1.02)+(1.2*0.42)</f>
        <v>38.388024000000001</v>
      </c>
      <c r="I12" s="34">
        <f>+(I11*1.025)+(1.2*0.42)</f>
        <v>38.758024999999989</v>
      </c>
      <c r="J12" s="34">
        <f>+(J11*1.03)+(1.2*0.42)</f>
        <v>39.129824000000006</v>
      </c>
      <c r="L12" s="125" t="s">
        <v>328</v>
      </c>
      <c r="M12" s="129">
        <v>4.59</v>
      </c>
      <c r="N12" s="75"/>
      <c r="O12" s="125" t="s">
        <v>328</v>
      </c>
      <c r="P12" s="129">
        <v>2.56</v>
      </c>
      <c r="R12" s="21">
        <v>2014</v>
      </c>
      <c r="S12" s="21">
        <v>1080</v>
      </c>
      <c r="T12" s="21">
        <v>1085</v>
      </c>
      <c r="U12" s="21">
        <v>1090</v>
      </c>
      <c r="V12" s="21">
        <v>1100</v>
      </c>
      <c r="W12" s="21">
        <v>1120</v>
      </c>
      <c r="X12" s="21">
        <v>1125</v>
      </c>
      <c r="Y12" s="21">
        <v>1145</v>
      </c>
      <c r="Z12" s="21">
        <v>1150</v>
      </c>
      <c r="AA12" s="21">
        <v>1165</v>
      </c>
      <c r="AB12" s="21">
        <v>1170</v>
      </c>
      <c r="AC12" s="21">
        <v>1.040179</v>
      </c>
    </row>
    <row r="13" spans="1:29" ht="19.5" customHeight="1" x14ac:dyDescent="0.25">
      <c r="A13" s="7" t="s">
        <v>49</v>
      </c>
      <c r="B13" s="130">
        <v>36</v>
      </c>
      <c r="E13" s="26">
        <v>2016</v>
      </c>
      <c r="F13" s="34">
        <f>+F12*1.01</f>
        <v>38.029950159999999</v>
      </c>
      <c r="G13" s="34">
        <f>+G12*1.015</f>
        <v>38.590118314999991</v>
      </c>
      <c r="H13" s="34">
        <f>+H12*1.02</f>
        <v>39.155784480000001</v>
      </c>
      <c r="I13" s="34">
        <f>+I12*1.025</f>
        <v>39.726975624999987</v>
      </c>
      <c r="J13" s="34">
        <f>+J12*1.03</f>
        <v>40.303718720000006</v>
      </c>
      <c r="L13" s="125" t="s">
        <v>329</v>
      </c>
      <c r="M13" s="129">
        <v>4.13</v>
      </c>
      <c r="O13" s="125" t="s">
        <v>329</v>
      </c>
      <c r="P13" s="129">
        <v>5.18</v>
      </c>
      <c r="R13" s="21">
        <v>2015</v>
      </c>
      <c r="S13" s="21">
        <v>1095</v>
      </c>
      <c r="T13" s="21">
        <v>1100</v>
      </c>
      <c r="U13" s="21">
        <v>1105</v>
      </c>
      <c r="V13" s="21">
        <v>1115</v>
      </c>
      <c r="W13" s="21">
        <v>1135</v>
      </c>
      <c r="X13" s="21">
        <v>1140</v>
      </c>
      <c r="Y13" s="21">
        <v>1160</v>
      </c>
      <c r="Z13" s="21">
        <v>1165</v>
      </c>
      <c r="AA13" s="21">
        <v>1170</v>
      </c>
      <c r="AB13" s="21">
        <v>1180</v>
      </c>
      <c r="AC13" s="21">
        <v>1.030837</v>
      </c>
    </row>
    <row r="14" spans="1:29" ht="49.5" customHeight="1" x14ac:dyDescent="0.25">
      <c r="A14" s="7" t="s">
        <v>50</v>
      </c>
      <c r="B14" s="130">
        <v>36</v>
      </c>
      <c r="E14" s="26">
        <v>2017</v>
      </c>
      <c r="F14" s="34">
        <f t="shared" ref="F14:F38" si="0">+F13*1.01</f>
        <v>38.410249661599998</v>
      </c>
      <c r="G14" s="34">
        <f>+G13*1.015</f>
        <v>39.168970089724986</v>
      </c>
      <c r="H14" s="34">
        <f t="shared" ref="H14:H38" si="1">+H13*1.02</f>
        <v>39.938900169600004</v>
      </c>
      <c r="I14" s="34">
        <f>+I13*1.025</f>
        <v>40.720150015624981</v>
      </c>
      <c r="J14" s="34">
        <f t="shared" ref="J14:J38" si="2">+J13*1.03</f>
        <v>41.51283028160001</v>
      </c>
      <c r="L14" s="125" t="s">
        <v>330</v>
      </c>
      <c r="M14" s="129">
        <v>4.1500000000000004</v>
      </c>
      <c r="O14" s="125" t="s">
        <v>330</v>
      </c>
      <c r="P14" s="129">
        <v>3.27</v>
      </c>
      <c r="R14" s="21">
        <v>2016</v>
      </c>
      <c r="S14" s="21">
        <v>1105</v>
      </c>
      <c r="T14" s="21">
        <v>1110</v>
      </c>
      <c r="U14" s="21">
        <v>1115</v>
      </c>
      <c r="V14" s="21">
        <v>1125</v>
      </c>
      <c r="W14" s="21">
        <v>1145</v>
      </c>
      <c r="X14" s="21">
        <v>1150</v>
      </c>
      <c r="Y14" s="21">
        <v>1170</v>
      </c>
      <c r="Z14" s="21">
        <v>1175</v>
      </c>
      <c r="AA14" s="21">
        <v>1190</v>
      </c>
      <c r="AB14" s="21">
        <v>1195</v>
      </c>
      <c r="AC14" s="21">
        <v>1.039301</v>
      </c>
    </row>
    <row r="15" spans="1:29" x14ac:dyDescent="0.25">
      <c r="A15" s="7" t="s">
        <v>51</v>
      </c>
      <c r="B15" s="7" t="s">
        <v>331</v>
      </c>
      <c r="C15" s="1" t="s">
        <v>52</v>
      </c>
      <c r="E15" s="26">
        <v>2018</v>
      </c>
      <c r="F15" s="34">
        <f t="shared" si="0"/>
        <v>38.794352158216</v>
      </c>
      <c r="G15" s="34">
        <f t="shared" ref="G15:G38" si="3">+G14*1.015</f>
        <v>39.756504641070855</v>
      </c>
      <c r="H15" s="34">
        <f t="shared" si="1"/>
        <v>40.737678172992005</v>
      </c>
      <c r="I15" s="34">
        <f t="shared" ref="I15:I38" si="4">+I14*1.025</f>
        <v>41.7381537660156</v>
      </c>
      <c r="J15" s="34">
        <f t="shared" si="2"/>
        <v>42.758215190048013</v>
      </c>
      <c r="L15" s="125" t="s">
        <v>332</v>
      </c>
      <c r="M15" s="129">
        <v>4.54</v>
      </c>
      <c r="O15" s="125" t="s">
        <v>332</v>
      </c>
      <c r="P15" s="129">
        <v>4.22</v>
      </c>
      <c r="R15" s="21">
        <v>2017</v>
      </c>
      <c r="S15" s="21">
        <v>1115</v>
      </c>
      <c r="T15" s="21">
        <v>1120</v>
      </c>
      <c r="U15" s="21">
        <v>1125</v>
      </c>
      <c r="V15" s="21">
        <v>1135</v>
      </c>
      <c r="W15" s="21">
        <v>1155</v>
      </c>
      <c r="X15" s="21">
        <v>1160</v>
      </c>
      <c r="Y15" s="21">
        <v>1180</v>
      </c>
      <c r="Z15" s="21">
        <v>1185</v>
      </c>
      <c r="AA15" s="21">
        <v>1195</v>
      </c>
      <c r="AB15" s="21">
        <v>1205</v>
      </c>
      <c r="AC15" s="21">
        <v>1.034632</v>
      </c>
    </row>
    <row r="16" spans="1:29" ht="21.75" customHeight="1" x14ac:dyDescent="0.25">
      <c r="A16" s="7" t="s">
        <v>53</v>
      </c>
      <c r="B16" s="18" t="s">
        <v>103</v>
      </c>
      <c r="E16" s="26">
        <v>2019</v>
      </c>
      <c r="F16" s="34">
        <f t="shared" si="0"/>
        <v>39.182295679798159</v>
      </c>
      <c r="G16" s="34">
        <f t="shared" si="3"/>
        <v>40.352852210686912</v>
      </c>
      <c r="H16" s="34">
        <f t="shared" si="1"/>
        <v>41.552431736451844</v>
      </c>
      <c r="I16" s="34">
        <f t="shared" si="4"/>
        <v>42.781607610165985</v>
      </c>
      <c r="J16" s="34">
        <f t="shared" si="2"/>
        <v>44.040961645749455</v>
      </c>
      <c r="L16" s="125" t="s">
        <v>333</v>
      </c>
      <c r="M16" s="129">
        <v>4.75</v>
      </c>
      <c r="O16" s="125" t="s">
        <v>333</v>
      </c>
      <c r="P16" s="129">
        <v>4.83</v>
      </c>
      <c r="R16" s="21">
        <v>2018</v>
      </c>
      <c r="S16" s="21">
        <v>1125</v>
      </c>
      <c r="T16" s="21">
        <v>1130</v>
      </c>
      <c r="U16" s="21">
        <v>1140</v>
      </c>
      <c r="V16" s="21">
        <v>1150</v>
      </c>
      <c r="W16" s="21">
        <v>1170</v>
      </c>
      <c r="X16" s="21">
        <v>1175</v>
      </c>
      <c r="Y16" s="21">
        <v>1195</v>
      </c>
      <c r="Z16" s="21">
        <v>1200</v>
      </c>
      <c r="AA16" s="21">
        <v>1215</v>
      </c>
      <c r="AB16" s="21">
        <v>1215</v>
      </c>
      <c r="AC16" s="21">
        <v>1.038462</v>
      </c>
    </row>
    <row r="17" spans="1:29" x14ac:dyDescent="0.25">
      <c r="A17" s="11" t="s">
        <v>41</v>
      </c>
      <c r="B17" s="440" t="s">
        <v>334</v>
      </c>
      <c r="C17"/>
      <c r="E17" s="26">
        <v>2020</v>
      </c>
      <c r="F17" s="34">
        <f t="shared" si="0"/>
        <v>39.57411863659614</v>
      </c>
      <c r="G17" s="34">
        <f t="shared" si="3"/>
        <v>40.958144993847213</v>
      </c>
      <c r="H17" s="34">
        <f t="shared" si="1"/>
        <v>42.38348037118088</v>
      </c>
      <c r="I17" s="34">
        <f t="shared" si="4"/>
        <v>43.851147800420129</v>
      </c>
      <c r="J17" s="34">
        <f t="shared" si="2"/>
        <v>45.362190495121936</v>
      </c>
      <c r="L17" s="125" t="s">
        <v>335</v>
      </c>
      <c r="M17" s="129">
        <v>2.41</v>
      </c>
      <c r="O17" s="125" t="s">
        <v>335</v>
      </c>
      <c r="P17" s="129">
        <v>1.9</v>
      </c>
      <c r="R17" s="21">
        <v>2019</v>
      </c>
      <c r="S17" s="21">
        <v>1135</v>
      </c>
      <c r="T17" s="21">
        <v>1140</v>
      </c>
      <c r="U17" s="21">
        <v>1150</v>
      </c>
      <c r="V17" s="21">
        <v>1160</v>
      </c>
      <c r="W17" s="21">
        <v>1180</v>
      </c>
      <c r="X17" s="21">
        <v>1185</v>
      </c>
      <c r="Y17" s="21">
        <v>1205</v>
      </c>
      <c r="Z17" s="21">
        <v>1210</v>
      </c>
      <c r="AA17" s="21">
        <v>1225</v>
      </c>
      <c r="AB17" s="21">
        <v>1230</v>
      </c>
      <c r="AC17" s="21">
        <v>1.0381359999999999</v>
      </c>
    </row>
    <row r="18" spans="1:29" ht="60.75" customHeight="1" x14ac:dyDescent="0.25">
      <c r="A18" s="11" t="s">
        <v>7</v>
      </c>
      <c r="B18" s="441"/>
      <c r="C18" s="1" t="s">
        <v>336</v>
      </c>
      <c r="E18" s="26">
        <v>2021</v>
      </c>
      <c r="F18" s="34">
        <f t="shared" si="0"/>
        <v>39.9698598229621</v>
      </c>
      <c r="G18" s="34">
        <f t="shared" si="3"/>
        <v>41.572517168754921</v>
      </c>
      <c r="H18" s="34">
        <f t="shared" si="1"/>
        <v>43.231149978604499</v>
      </c>
      <c r="I18" s="34">
        <f t="shared" si="4"/>
        <v>44.947426495430626</v>
      </c>
      <c r="J18" s="34">
        <f t="shared" si="2"/>
        <v>46.723056209975596</v>
      </c>
      <c r="L18" s="131" t="s">
        <v>337</v>
      </c>
      <c r="M18" s="132">
        <f>SUM(M8:M17)</f>
        <v>35.959999999999994</v>
      </c>
      <c r="O18" s="131" t="s">
        <v>337</v>
      </c>
      <c r="P18" s="132">
        <f>SUM(P8:P17)</f>
        <v>29.379999999999995</v>
      </c>
      <c r="R18" s="21">
        <v>2020</v>
      </c>
      <c r="S18" s="21">
        <v>1145</v>
      </c>
      <c r="T18" s="21">
        <v>1150</v>
      </c>
      <c r="U18" s="21">
        <v>1155</v>
      </c>
      <c r="V18" s="21">
        <v>1170</v>
      </c>
      <c r="W18" s="21">
        <v>1190</v>
      </c>
      <c r="X18" s="21">
        <v>1195</v>
      </c>
      <c r="Y18" s="21">
        <v>1215</v>
      </c>
      <c r="Z18" s="21">
        <v>1225</v>
      </c>
      <c r="AA18" s="21">
        <v>1235</v>
      </c>
      <c r="AB18" s="21">
        <v>1240</v>
      </c>
      <c r="AC18" s="21">
        <v>1.0378149999999999</v>
      </c>
    </row>
    <row r="19" spans="1:29" x14ac:dyDescent="0.25">
      <c r="A19" s="14" t="s">
        <v>72</v>
      </c>
      <c r="B19" s="133">
        <v>11.72</v>
      </c>
      <c r="C19" s="1" t="s">
        <v>73</v>
      </c>
      <c r="E19" s="26">
        <v>2022</v>
      </c>
      <c r="F19" s="34">
        <f t="shared" si="0"/>
        <v>40.369558421191719</v>
      </c>
      <c r="G19" s="34">
        <f t="shared" si="3"/>
        <v>42.196104926286239</v>
      </c>
      <c r="H19" s="34">
        <f t="shared" si="1"/>
        <v>44.095772978176591</v>
      </c>
      <c r="I19" s="34">
        <f t="shared" si="4"/>
        <v>46.071112157816387</v>
      </c>
      <c r="J19" s="34">
        <f t="shared" si="2"/>
        <v>48.124747896274862</v>
      </c>
      <c r="R19" s="21" t="s">
        <v>78</v>
      </c>
      <c r="S19" s="21"/>
      <c r="T19" s="21"/>
      <c r="U19" s="21"/>
      <c r="V19" s="21"/>
      <c r="W19" s="21"/>
      <c r="X19" s="21"/>
      <c r="Y19" s="21"/>
      <c r="Z19" s="21"/>
      <c r="AA19" s="21"/>
      <c r="AB19" s="21"/>
      <c r="AC19" s="21"/>
    </row>
    <row r="20" spans="1:29" x14ac:dyDescent="0.25">
      <c r="A20" s="14" t="s">
        <v>68</v>
      </c>
      <c r="B20" s="15" t="s">
        <v>338</v>
      </c>
      <c r="C20" s="1" t="s">
        <v>69</v>
      </c>
      <c r="E20" s="26">
        <v>2023</v>
      </c>
      <c r="F20" s="34">
        <f t="shared" si="0"/>
        <v>40.773254005403636</v>
      </c>
      <c r="G20" s="34">
        <f t="shared" si="3"/>
        <v>42.829046500180532</v>
      </c>
      <c r="H20" s="34">
        <f t="shared" si="1"/>
        <v>44.97768843774012</v>
      </c>
      <c r="I20" s="34">
        <f t="shared" si="4"/>
        <v>47.222889961761794</v>
      </c>
      <c r="J20" s="34">
        <f t="shared" si="2"/>
        <v>49.568490333163112</v>
      </c>
      <c r="R20" s="21" t="s">
        <v>79</v>
      </c>
      <c r="S20" s="21">
        <v>1030</v>
      </c>
      <c r="T20" s="21">
        <v>1035</v>
      </c>
      <c r="U20" s="21">
        <v>1035</v>
      </c>
      <c r="V20" s="21">
        <v>1035</v>
      </c>
      <c r="W20" s="21">
        <v>1045</v>
      </c>
      <c r="X20" s="21">
        <v>1050</v>
      </c>
      <c r="Y20" s="21">
        <v>1055</v>
      </c>
      <c r="Z20" s="21">
        <v>1055</v>
      </c>
      <c r="AA20" s="21">
        <v>1060</v>
      </c>
      <c r="AB20" s="21">
        <v>1070</v>
      </c>
      <c r="AC20" s="21">
        <v>1.014354</v>
      </c>
    </row>
    <row r="21" spans="1:29" ht="21" customHeight="1" x14ac:dyDescent="0.25">
      <c r="A21" s="14" t="s">
        <v>67</v>
      </c>
      <c r="B21" s="14" t="s">
        <v>339</v>
      </c>
      <c r="C21" s="1" t="s">
        <v>70</v>
      </c>
      <c r="E21" s="26">
        <v>2024</v>
      </c>
      <c r="F21" s="34">
        <f t="shared" si="0"/>
        <v>41.180986545457671</v>
      </c>
      <c r="G21" s="34">
        <f t="shared" si="3"/>
        <v>43.471482197683237</v>
      </c>
      <c r="H21" s="34">
        <f t="shared" si="1"/>
        <v>45.877242206494927</v>
      </c>
      <c r="I21" s="34">
        <f t="shared" si="4"/>
        <v>48.403462210805834</v>
      </c>
      <c r="J21" s="34">
        <f t="shared" si="2"/>
        <v>51.055545043158006</v>
      </c>
      <c r="R21" s="21" t="s">
        <v>80</v>
      </c>
      <c r="S21" s="21">
        <v>1040</v>
      </c>
      <c r="T21" s="21">
        <v>1045</v>
      </c>
      <c r="U21" s="21">
        <v>1045</v>
      </c>
      <c r="V21" s="21">
        <v>1045</v>
      </c>
      <c r="W21" s="21">
        <v>1055</v>
      </c>
      <c r="X21" s="21">
        <v>1060</v>
      </c>
      <c r="Y21" s="21">
        <v>1065</v>
      </c>
      <c r="Z21" s="21">
        <v>1065</v>
      </c>
      <c r="AA21" s="21">
        <v>1070</v>
      </c>
      <c r="AB21" s="21">
        <v>1080</v>
      </c>
      <c r="AC21" s="21">
        <v>1.0142180000000001</v>
      </c>
    </row>
    <row r="22" spans="1:29" ht="48.75" customHeight="1" x14ac:dyDescent="0.25">
      <c r="A22" s="3" t="s">
        <v>98</v>
      </c>
      <c r="B22" s="65">
        <v>2018</v>
      </c>
      <c r="C22" s="1" t="s">
        <v>58</v>
      </c>
      <c r="E22" s="26">
        <v>2025</v>
      </c>
      <c r="F22" s="34">
        <f t="shared" si="0"/>
        <v>41.59279641091225</v>
      </c>
      <c r="G22" s="34">
        <f t="shared" si="3"/>
        <v>44.123554430648483</v>
      </c>
      <c r="H22" s="34">
        <f t="shared" si="1"/>
        <v>46.794787050624826</v>
      </c>
      <c r="I22" s="34">
        <f t="shared" si="4"/>
        <v>49.613548766075979</v>
      </c>
      <c r="J22" s="34">
        <f t="shared" si="2"/>
        <v>52.587211394452744</v>
      </c>
      <c r="R22" s="21" t="s">
        <v>81</v>
      </c>
      <c r="S22" s="21">
        <v>1050</v>
      </c>
      <c r="T22" s="21">
        <v>1055</v>
      </c>
      <c r="U22" s="21">
        <v>1055</v>
      </c>
      <c r="V22" s="21">
        <v>1055</v>
      </c>
      <c r="W22" s="21">
        <v>1065</v>
      </c>
      <c r="X22" s="21">
        <v>1070</v>
      </c>
      <c r="Y22" s="21">
        <v>1075</v>
      </c>
      <c r="Z22" s="21">
        <v>1075</v>
      </c>
      <c r="AA22" s="21">
        <v>1080</v>
      </c>
      <c r="AB22" s="21">
        <v>1095</v>
      </c>
      <c r="AC22" s="21">
        <v>1.0140849999999999</v>
      </c>
    </row>
    <row r="23" spans="1:29" x14ac:dyDescent="0.25">
      <c r="A23" s="3" t="s">
        <v>5</v>
      </c>
      <c r="B23" s="16">
        <v>8000000</v>
      </c>
      <c r="C23" s="1" t="s">
        <v>6</v>
      </c>
      <c r="E23" s="26">
        <v>2026</v>
      </c>
      <c r="F23" s="34">
        <f t="shared" si="0"/>
        <v>42.008724375021373</v>
      </c>
      <c r="G23" s="34">
        <f t="shared" si="3"/>
        <v>44.785407747108202</v>
      </c>
      <c r="H23" s="34">
        <f t="shared" si="1"/>
        <v>47.730682791637321</v>
      </c>
      <c r="I23" s="34">
        <f t="shared" si="4"/>
        <v>50.853887485227872</v>
      </c>
      <c r="J23" s="134">
        <f t="shared" si="2"/>
        <v>54.164827736286327</v>
      </c>
      <c r="R23" s="21" t="s">
        <v>82</v>
      </c>
      <c r="S23" s="21">
        <v>1055</v>
      </c>
      <c r="T23" s="21">
        <v>1060</v>
      </c>
      <c r="U23" s="21">
        <v>1060</v>
      </c>
      <c r="V23" s="21">
        <v>1060</v>
      </c>
      <c r="W23" s="21">
        <v>1070</v>
      </c>
      <c r="X23" s="21">
        <v>1075</v>
      </c>
      <c r="Y23" s="21">
        <v>1080</v>
      </c>
      <c r="Z23" s="21">
        <v>1080</v>
      </c>
      <c r="AA23" s="21">
        <v>1085</v>
      </c>
      <c r="AB23" s="21">
        <v>1095</v>
      </c>
      <c r="AC23" s="21">
        <v>1.014019</v>
      </c>
    </row>
    <row r="24" spans="1:29" ht="32.25" customHeight="1" x14ac:dyDescent="0.25">
      <c r="A24" s="3" t="s">
        <v>55</v>
      </c>
      <c r="B24" s="17" t="s">
        <v>104</v>
      </c>
      <c r="C24" s="1" t="s">
        <v>54</v>
      </c>
      <c r="E24" s="26">
        <v>2027</v>
      </c>
      <c r="F24" s="34">
        <f t="shared" si="0"/>
        <v>42.42881161877159</v>
      </c>
      <c r="G24" s="34">
        <f t="shared" si="3"/>
        <v>45.457188863314819</v>
      </c>
      <c r="H24" s="34">
        <f t="shared" si="1"/>
        <v>48.685296447470066</v>
      </c>
      <c r="I24" s="34">
        <f t="shared" si="4"/>
        <v>52.125234672358566</v>
      </c>
      <c r="J24" s="34">
        <f t="shared" si="2"/>
        <v>55.789772568374921</v>
      </c>
      <c r="R24" s="21" t="s">
        <v>83</v>
      </c>
      <c r="S24" s="21">
        <v>1060</v>
      </c>
      <c r="T24" s="21">
        <v>1065</v>
      </c>
      <c r="U24" s="21">
        <v>1065</v>
      </c>
      <c r="V24" s="21">
        <v>1065</v>
      </c>
      <c r="W24" s="21">
        <v>1075</v>
      </c>
      <c r="X24" s="21">
        <v>1080</v>
      </c>
      <c r="Y24" s="21">
        <v>1085</v>
      </c>
      <c r="Z24" s="21">
        <v>1085</v>
      </c>
      <c r="AA24" s="21">
        <v>1090</v>
      </c>
      <c r="AB24" s="21">
        <v>1110</v>
      </c>
      <c r="AC24" s="21">
        <v>1.0139530000000001</v>
      </c>
    </row>
    <row r="25" spans="1:29" ht="30.75" customHeight="1" x14ac:dyDescent="0.25">
      <c r="A25" s="3" t="s">
        <v>56</v>
      </c>
      <c r="B25" s="16">
        <v>1360000</v>
      </c>
      <c r="C25" s="1" t="s">
        <v>57</v>
      </c>
      <c r="E25" s="26">
        <v>2028</v>
      </c>
      <c r="F25" s="34">
        <f t="shared" si="0"/>
        <v>42.853099734959308</v>
      </c>
      <c r="G25" s="34">
        <f t="shared" si="3"/>
        <v>46.139046696264536</v>
      </c>
      <c r="H25" s="34">
        <f t="shared" si="1"/>
        <v>49.659002376419465</v>
      </c>
      <c r="I25" s="134">
        <f t="shared" si="4"/>
        <v>53.428365539167523</v>
      </c>
      <c r="J25" s="34">
        <f t="shared" si="2"/>
        <v>57.46346574542617</v>
      </c>
      <c r="R25" s="21" t="s">
        <v>84</v>
      </c>
      <c r="S25" s="21">
        <v>1065</v>
      </c>
      <c r="T25" s="21">
        <v>1070</v>
      </c>
      <c r="U25" s="21">
        <v>1070</v>
      </c>
      <c r="V25" s="21">
        <v>1070</v>
      </c>
      <c r="W25" s="21">
        <v>1080</v>
      </c>
      <c r="X25" s="21">
        <v>1085</v>
      </c>
      <c r="Y25" s="21">
        <v>1090</v>
      </c>
      <c r="Z25" s="21">
        <v>1090</v>
      </c>
      <c r="AA25" s="21">
        <v>1100</v>
      </c>
      <c r="AB25" s="21">
        <v>1110</v>
      </c>
      <c r="AC25" s="21">
        <v>1.018519</v>
      </c>
    </row>
    <row r="26" spans="1:29" x14ac:dyDescent="0.25">
      <c r="A26" s="12"/>
      <c r="B26" s="13"/>
      <c r="E26" s="26">
        <v>2029</v>
      </c>
      <c r="F26" s="34">
        <f t="shared" si="0"/>
        <v>43.281630732308905</v>
      </c>
      <c r="G26" s="34">
        <f t="shared" si="3"/>
        <v>46.831132396708497</v>
      </c>
      <c r="H26" s="34">
        <f t="shared" si="1"/>
        <v>50.652182423947856</v>
      </c>
      <c r="I26" s="34">
        <f t="shared" si="4"/>
        <v>54.764074677646704</v>
      </c>
      <c r="J26" s="34">
        <f t="shared" si="2"/>
        <v>59.187369717788954</v>
      </c>
      <c r="R26" s="21" t="s">
        <v>85</v>
      </c>
      <c r="S26" s="21">
        <v>1075</v>
      </c>
      <c r="T26" s="21">
        <v>1080</v>
      </c>
      <c r="U26" s="21">
        <v>1080</v>
      </c>
      <c r="V26" s="21">
        <v>1080</v>
      </c>
      <c r="W26" s="21">
        <v>1090</v>
      </c>
      <c r="X26" s="21">
        <v>1095</v>
      </c>
      <c r="Y26" s="21">
        <v>1100</v>
      </c>
      <c r="Z26" s="21">
        <v>1100</v>
      </c>
      <c r="AA26" s="21">
        <v>1105</v>
      </c>
      <c r="AB26" s="21">
        <v>1120</v>
      </c>
      <c r="AC26" s="21">
        <v>1.0137609999999999</v>
      </c>
    </row>
    <row r="27" spans="1:29" x14ac:dyDescent="0.25">
      <c r="A27" s="372" t="s">
        <v>71</v>
      </c>
      <c r="B27" s="372"/>
      <c r="C27"/>
      <c r="E27" s="26">
        <v>2030</v>
      </c>
      <c r="F27" s="34">
        <f t="shared" si="0"/>
        <v>43.714447039631992</v>
      </c>
      <c r="G27" s="34">
        <f t="shared" si="3"/>
        <v>47.533599382659119</v>
      </c>
      <c r="H27" s="34">
        <f t="shared" si="1"/>
        <v>51.665226072426812</v>
      </c>
      <c r="I27" s="34">
        <f t="shared" si="4"/>
        <v>56.133176544587869</v>
      </c>
      <c r="J27" s="34">
        <f t="shared" si="2"/>
        <v>60.962990809322626</v>
      </c>
      <c r="R27" s="21" t="s">
        <v>86</v>
      </c>
      <c r="S27" s="21">
        <v>1080</v>
      </c>
      <c r="T27" s="21">
        <v>1085</v>
      </c>
      <c r="U27" s="21">
        <v>1085</v>
      </c>
      <c r="V27" s="21">
        <v>1085</v>
      </c>
      <c r="W27" s="21">
        <v>1095</v>
      </c>
      <c r="X27" s="21">
        <v>1100</v>
      </c>
      <c r="Y27" s="21">
        <v>1105</v>
      </c>
      <c r="Z27" s="21">
        <v>1105</v>
      </c>
      <c r="AA27" s="21">
        <v>1110</v>
      </c>
      <c r="AB27" s="21">
        <v>1120</v>
      </c>
      <c r="AC27" s="21">
        <v>1.0136989999999999</v>
      </c>
    </row>
    <row r="28" spans="1:29" x14ac:dyDescent="0.25">
      <c r="A28" s="3" t="s">
        <v>28</v>
      </c>
      <c r="B28" s="3" t="s">
        <v>340</v>
      </c>
      <c r="C28"/>
      <c r="E28" s="26">
        <v>2031</v>
      </c>
      <c r="F28" s="34">
        <f t="shared" si="0"/>
        <v>44.151591510028311</v>
      </c>
      <c r="G28" s="34">
        <f t="shared" si="3"/>
        <v>48.246603373399005</v>
      </c>
      <c r="H28" s="134">
        <f t="shared" si="1"/>
        <v>52.698530593875347</v>
      </c>
      <c r="I28" s="34">
        <f t="shared" si="4"/>
        <v>57.536505958202561</v>
      </c>
      <c r="J28" s="34">
        <f t="shared" si="2"/>
        <v>62.79188053360231</v>
      </c>
      <c r="R28" s="21" t="s">
        <v>87</v>
      </c>
      <c r="S28" s="21">
        <v>1085</v>
      </c>
      <c r="T28" s="21">
        <v>1090</v>
      </c>
      <c r="U28" s="21">
        <v>1090</v>
      </c>
      <c r="V28" s="21">
        <v>1090</v>
      </c>
      <c r="W28" s="21">
        <v>1100</v>
      </c>
      <c r="X28" s="21">
        <v>1105</v>
      </c>
      <c r="Y28" s="21">
        <v>1110</v>
      </c>
      <c r="Z28" s="21">
        <v>1110</v>
      </c>
      <c r="AA28" s="21">
        <v>1115</v>
      </c>
      <c r="AB28" s="21">
        <v>1125</v>
      </c>
      <c r="AC28" s="21">
        <v>1.013636</v>
      </c>
    </row>
    <row r="29" spans="1:29" x14ac:dyDescent="0.25">
      <c r="A29" s="3" t="s">
        <v>29</v>
      </c>
      <c r="B29" s="3" t="s">
        <v>341</v>
      </c>
      <c r="C29"/>
      <c r="E29" s="26">
        <v>2032</v>
      </c>
      <c r="F29" s="34">
        <f t="shared" si="0"/>
        <v>44.593107425128593</v>
      </c>
      <c r="G29" s="34">
        <f t="shared" si="3"/>
        <v>48.970302423999982</v>
      </c>
      <c r="H29" s="34">
        <f t="shared" si="1"/>
        <v>53.752501205752857</v>
      </c>
      <c r="I29" s="34">
        <f t="shared" si="4"/>
        <v>58.974918607157619</v>
      </c>
      <c r="J29" s="34">
        <f t="shared" si="2"/>
        <v>64.675636949610379</v>
      </c>
      <c r="R29" s="21" t="s">
        <v>88</v>
      </c>
      <c r="S29" s="21">
        <v>1090</v>
      </c>
      <c r="T29" s="21">
        <v>1095</v>
      </c>
      <c r="U29" s="21">
        <v>1095</v>
      </c>
      <c r="V29" s="21">
        <v>1095</v>
      </c>
      <c r="W29" s="21">
        <v>1105</v>
      </c>
      <c r="X29" s="21">
        <v>1110</v>
      </c>
      <c r="Y29" s="21">
        <v>1115</v>
      </c>
      <c r="Z29" s="21">
        <v>1115</v>
      </c>
      <c r="AA29" s="21">
        <v>1120</v>
      </c>
      <c r="AB29" s="21">
        <v>1130</v>
      </c>
      <c r="AC29" s="21">
        <v>1.0135749999999999</v>
      </c>
    </row>
    <row r="30" spans="1:29" ht="39.75" customHeight="1" x14ac:dyDescent="0.25">
      <c r="A30" s="3" t="s">
        <v>30</v>
      </c>
      <c r="B30" s="17" t="s">
        <v>342</v>
      </c>
      <c r="C30" s="1" t="s">
        <v>43</v>
      </c>
      <c r="E30" s="26">
        <v>2033</v>
      </c>
      <c r="F30" s="34">
        <f t="shared" si="0"/>
        <v>45.039038499379878</v>
      </c>
      <c r="G30" s="34">
        <f t="shared" si="3"/>
        <v>49.704856960359976</v>
      </c>
      <c r="H30" s="34">
        <f t="shared" si="1"/>
        <v>54.827551229867915</v>
      </c>
      <c r="I30" s="34">
        <f t="shared" si="4"/>
        <v>60.449291572336556</v>
      </c>
      <c r="J30" s="34">
        <f t="shared" si="2"/>
        <v>66.615906058098687</v>
      </c>
    </row>
    <row r="31" spans="1:29" x14ac:dyDescent="0.25">
      <c r="A31" s="3" t="s">
        <v>44</v>
      </c>
      <c r="B31" s="3" t="s">
        <v>105</v>
      </c>
      <c r="C31"/>
      <c r="E31" s="26">
        <v>2034</v>
      </c>
      <c r="F31" s="34">
        <f t="shared" si="0"/>
        <v>45.48942888437368</v>
      </c>
      <c r="G31" s="34">
        <f t="shared" si="3"/>
        <v>50.450429814765371</v>
      </c>
      <c r="H31" s="34">
        <f t="shared" si="1"/>
        <v>55.924102254465275</v>
      </c>
      <c r="I31" s="34">
        <f t="shared" si="4"/>
        <v>61.960523861644965</v>
      </c>
      <c r="J31" s="34">
        <f t="shared" si="2"/>
        <v>68.614383239841644</v>
      </c>
    </row>
    <row r="32" spans="1:29" x14ac:dyDescent="0.25">
      <c r="A32" s="3" t="s">
        <v>47</v>
      </c>
      <c r="B32" s="3" t="s">
        <v>105</v>
      </c>
      <c r="C32"/>
      <c r="E32" s="26">
        <v>2035</v>
      </c>
      <c r="F32" s="34">
        <f t="shared" si="0"/>
        <v>45.94432317321742</v>
      </c>
      <c r="G32" s="34">
        <f t="shared" si="3"/>
        <v>51.207186261986848</v>
      </c>
      <c r="H32" s="34">
        <f t="shared" si="1"/>
        <v>57.042584299554584</v>
      </c>
      <c r="I32" s="34">
        <f t="shared" si="4"/>
        <v>63.509536958186082</v>
      </c>
      <c r="J32" s="34">
        <f t="shared" si="2"/>
        <v>70.672814737036902</v>
      </c>
    </row>
    <row r="33" spans="1:10" x14ac:dyDescent="0.25">
      <c r="A33" s="3" t="s">
        <v>45</v>
      </c>
      <c r="B33" s="3" t="s">
        <v>106</v>
      </c>
      <c r="C33"/>
      <c r="E33" s="26">
        <v>2036</v>
      </c>
      <c r="F33" s="34">
        <f t="shared" si="0"/>
        <v>46.403766404949593</v>
      </c>
      <c r="G33" s="34">
        <f t="shared" si="3"/>
        <v>51.975294055916649</v>
      </c>
      <c r="H33" s="34">
        <f t="shared" si="1"/>
        <v>58.183435985545678</v>
      </c>
      <c r="I33" s="34">
        <f t="shared" si="4"/>
        <v>65.097275382140722</v>
      </c>
      <c r="J33" s="34">
        <f t="shared" si="2"/>
        <v>72.792999179148012</v>
      </c>
    </row>
    <row r="34" spans="1:10" x14ac:dyDescent="0.25">
      <c r="A34" s="3" t="s">
        <v>46</v>
      </c>
      <c r="B34" s="3" t="s">
        <v>105</v>
      </c>
      <c r="C34"/>
      <c r="E34" s="26">
        <v>2037</v>
      </c>
      <c r="F34" s="34">
        <f t="shared" si="0"/>
        <v>46.867804068999092</v>
      </c>
      <c r="G34" s="134">
        <f t="shared" si="3"/>
        <v>52.754923466755393</v>
      </c>
      <c r="H34" s="34">
        <f t="shared" si="1"/>
        <v>59.347104705256591</v>
      </c>
      <c r="I34" s="34">
        <f t="shared" si="4"/>
        <v>66.724707266694239</v>
      </c>
      <c r="J34" s="34">
        <f t="shared" si="2"/>
        <v>74.97678915452245</v>
      </c>
    </row>
    <row r="35" spans="1:10" x14ac:dyDescent="0.25">
      <c r="A35" s="135"/>
      <c r="B35" s="136"/>
      <c r="C35"/>
      <c r="E35" s="26">
        <v>2038</v>
      </c>
      <c r="F35" s="34">
        <f t="shared" si="0"/>
        <v>47.336482109689086</v>
      </c>
      <c r="G35" s="34">
        <f t="shared" si="3"/>
        <v>53.54624731875672</v>
      </c>
      <c r="H35" s="34">
        <f t="shared" si="1"/>
        <v>60.534046799361725</v>
      </c>
      <c r="I35" s="34">
        <f t="shared" si="4"/>
        <v>68.392824948361593</v>
      </c>
      <c r="J35" s="34">
        <f t="shared" si="2"/>
        <v>77.226092829158119</v>
      </c>
    </row>
    <row r="36" spans="1:10" ht="30" customHeight="1" x14ac:dyDescent="0.25">
      <c r="C36"/>
      <c r="E36" s="26">
        <v>2039</v>
      </c>
      <c r="F36" s="34">
        <f t="shared" si="0"/>
        <v>47.80984693078598</v>
      </c>
      <c r="G36" s="34">
        <f t="shared" si="3"/>
        <v>54.349441028538067</v>
      </c>
      <c r="H36" s="34">
        <f t="shared" si="1"/>
        <v>61.74472773534896</v>
      </c>
      <c r="I36" s="34">
        <f t="shared" si="4"/>
        <v>70.102645572070628</v>
      </c>
      <c r="J36" s="34">
        <f t="shared" si="2"/>
        <v>79.542875614032866</v>
      </c>
    </row>
    <row r="37" spans="1:10" x14ac:dyDescent="0.25">
      <c r="C37"/>
      <c r="E37" s="26">
        <v>2040</v>
      </c>
      <c r="F37" s="34">
        <f t="shared" si="0"/>
        <v>48.28794540009384</v>
      </c>
      <c r="G37" s="34">
        <f t="shared" si="3"/>
        <v>55.164682643966131</v>
      </c>
      <c r="H37" s="34">
        <f t="shared" si="1"/>
        <v>62.979622290055943</v>
      </c>
      <c r="I37" s="34">
        <f t="shared" si="4"/>
        <v>71.855211711372391</v>
      </c>
      <c r="J37" s="34">
        <f t="shared" si="2"/>
        <v>81.929161882453855</v>
      </c>
    </row>
    <row r="38" spans="1:10" x14ac:dyDescent="0.25">
      <c r="C38"/>
      <c r="E38" s="26">
        <v>2041</v>
      </c>
      <c r="F38" s="34">
        <f t="shared" si="0"/>
        <v>48.770824854094776</v>
      </c>
      <c r="G38" s="34">
        <f t="shared" si="3"/>
        <v>55.992152883625614</v>
      </c>
      <c r="H38" s="34">
        <f t="shared" si="1"/>
        <v>64.239214735857061</v>
      </c>
      <c r="I38" s="34">
        <f t="shared" si="4"/>
        <v>73.651592004156697</v>
      </c>
      <c r="J38" s="34">
        <f t="shared" si="2"/>
        <v>84.387036738927478</v>
      </c>
    </row>
    <row r="39" spans="1:10" x14ac:dyDescent="0.25">
      <c r="C39"/>
      <c r="E39"/>
      <c r="F39"/>
      <c r="G39"/>
      <c r="H39"/>
    </row>
    <row r="40" spans="1:10" x14ac:dyDescent="0.25">
      <c r="C40"/>
      <c r="E40"/>
      <c r="F40"/>
      <c r="G40"/>
      <c r="H40"/>
    </row>
    <row r="41" spans="1:10" x14ac:dyDescent="0.25">
      <c r="C41"/>
      <c r="D41" t="s">
        <v>351</v>
      </c>
      <c r="E41"/>
      <c r="F41"/>
      <c r="G41"/>
      <c r="H41"/>
    </row>
    <row r="42" spans="1:10" x14ac:dyDescent="0.25">
      <c r="C42"/>
      <c r="E42" t="s">
        <v>343</v>
      </c>
      <c r="F42"/>
      <c r="G42"/>
      <c r="H42"/>
    </row>
    <row r="43" spans="1:10" x14ac:dyDescent="0.25">
      <c r="C43"/>
      <c r="E43" t="s">
        <v>344</v>
      </c>
      <c r="F43"/>
      <c r="G43"/>
      <c r="H43"/>
    </row>
    <row r="44" spans="1:10" x14ac:dyDescent="0.25">
      <c r="C44"/>
      <c r="E44" t="s">
        <v>345</v>
      </c>
      <c r="F44"/>
      <c r="G44"/>
      <c r="H44"/>
    </row>
    <row r="45" spans="1:10" x14ac:dyDescent="0.25">
      <c r="C45"/>
      <c r="E45" t="s">
        <v>346</v>
      </c>
      <c r="F45"/>
      <c r="G45"/>
      <c r="H45"/>
    </row>
    <row r="46" spans="1:10" x14ac:dyDescent="0.25">
      <c r="C46"/>
      <c r="E46" t="s">
        <v>347</v>
      </c>
      <c r="F46"/>
      <c r="G46"/>
      <c r="H46"/>
    </row>
    <row r="47" spans="1:10" x14ac:dyDescent="0.25">
      <c r="C47"/>
      <c r="E47" t="s">
        <v>348</v>
      </c>
      <c r="F47"/>
      <c r="G47"/>
      <c r="H47"/>
    </row>
    <row r="48" spans="1:10" x14ac:dyDescent="0.25">
      <c r="C48"/>
      <c r="E48" t="s">
        <v>349</v>
      </c>
      <c r="F48"/>
      <c r="G48"/>
      <c r="H48"/>
    </row>
    <row r="49" spans="3:8" x14ac:dyDescent="0.25">
      <c r="E49" s="75" t="s">
        <v>350</v>
      </c>
    </row>
    <row r="51" spans="3:8" x14ac:dyDescent="0.25">
      <c r="D51" t="s">
        <v>352</v>
      </c>
    </row>
    <row r="52" spans="3:8" x14ac:dyDescent="0.25">
      <c r="E52" s="75" t="s">
        <v>353</v>
      </c>
    </row>
    <row r="53" spans="3:8" x14ac:dyDescent="0.25">
      <c r="E53" s="75" t="s">
        <v>354</v>
      </c>
    </row>
    <row r="54" spans="3:8" x14ac:dyDescent="0.25">
      <c r="E54" s="75" t="s">
        <v>357</v>
      </c>
    </row>
    <row r="55" spans="3:8" x14ac:dyDescent="0.25">
      <c r="E55" s="75" t="s">
        <v>358</v>
      </c>
    </row>
    <row r="56" spans="3:8" x14ac:dyDescent="0.25">
      <c r="E56" s="75" t="s">
        <v>355</v>
      </c>
    </row>
    <row r="57" spans="3:8" x14ac:dyDescent="0.25">
      <c r="E57" s="75" t="s">
        <v>356</v>
      </c>
    </row>
    <row r="60" spans="3:8" x14ac:dyDescent="0.25">
      <c r="C60"/>
      <c r="E60"/>
      <c r="F60"/>
      <c r="G60"/>
      <c r="H60"/>
    </row>
    <row r="62" spans="3:8" x14ac:dyDescent="0.25">
      <c r="C62"/>
      <c r="E62"/>
      <c r="F62"/>
      <c r="G62"/>
      <c r="H62"/>
    </row>
    <row r="63" spans="3:8" x14ac:dyDescent="0.25">
      <c r="C63"/>
      <c r="E63"/>
      <c r="F63"/>
      <c r="G63"/>
      <c r="H63"/>
    </row>
  </sheetData>
  <mergeCells count="7">
    <mergeCell ref="L7:M7"/>
    <mergeCell ref="O7:P7"/>
    <mergeCell ref="B17:B18"/>
    <mergeCell ref="A27:B27"/>
    <mergeCell ref="D1:H1"/>
    <mergeCell ref="E6:J6"/>
    <mergeCell ref="A7:B7"/>
  </mergeCells>
  <pageMargins left="0.7" right="0.7" top="0.75" bottom="0.75" header="0.3" footer="0.3"/>
  <pageSetup scale="56"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AA34"/>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53.25" customHeight="1" x14ac:dyDescent="0.3">
      <c r="A1" s="112" t="s">
        <v>108</v>
      </c>
      <c r="B1" s="10"/>
      <c r="C1" s="391" t="s">
        <v>310</v>
      </c>
      <c r="D1" s="392"/>
      <c r="E1" s="392"/>
      <c r="F1" s="392"/>
      <c r="G1" s="393"/>
    </row>
    <row r="2" spans="1:27" ht="30" customHeight="1" x14ac:dyDescent="0.25">
      <c r="A2" s="118" t="s">
        <v>260</v>
      </c>
    </row>
    <row r="3" spans="1:27" ht="15" customHeight="1" x14ac:dyDescent="0.25">
      <c r="A3" s="2" t="s">
        <v>8</v>
      </c>
      <c r="B3" s="2"/>
    </row>
    <row r="4" spans="1:27" ht="15" customHeight="1" x14ac:dyDescent="0.25">
      <c r="A4" s="9" t="s">
        <v>9</v>
      </c>
      <c r="B4" s="9"/>
    </row>
    <row r="5" spans="1:27" x14ac:dyDescent="0.25">
      <c r="C5" s="1" t="s">
        <v>31</v>
      </c>
    </row>
    <row r="6" spans="1:27" x14ac:dyDescent="0.25">
      <c r="A6" s="373" t="s">
        <v>10</v>
      </c>
      <c r="B6" s="374"/>
    </row>
    <row r="7" spans="1:27" ht="21" customHeight="1" x14ac:dyDescent="0.25">
      <c r="A7" s="3" t="s">
        <v>0</v>
      </c>
      <c r="B7" s="3" t="s">
        <v>119</v>
      </c>
    </row>
    <row r="8" spans="1:27" ht="250.5" customHeight="1" x14ac:dyDescent="0.25">
      <c r="A8" s="3" t="s">
        <v>2</v>
      </c>
      <c r="B8" s="33" t="s">
        <v>120</v>
      </c>
    </row>
    <row r="9" spans="1:27" ht="250.5" customHeight="1" x14ac:dyDescent="0.25">
      <c r="A9" s="3" t="s">
        <v>238</v>
      </c>
      <c r="B9" s="33" t="s">
        <v>264</v>
      </c>
      <c r="E9" s="409" t="s">
        <v>100</v>
      </c>
      <c r="F9" s="409"/>
      <c r="G9" s="409"/>
      <c r="H9" s="409"/>
      <c r="I9" s="409"/>
    </row>
    <row r="10" spans="1:27" ht="15.75" thickBot="1" x14ac:dyDescent="0.3">
      <c r="A10" s="3" t="s">
        <v>1</v>
      </c>
      <c r="B10" s="3" t="s">
        <v>268</v>
      </c>
      <c r="C10" s="1" t="s">
        <v>48</v>
      </c>
      <c r="E10" s="353" t="s">
        <v>53</v>
      </c>
      <c r="F10" s="354"/>
      <c r="G10" s="354"/>
      <c r="H10" s="355"/>
      <c r="I10" s="3" t="str">
        <f>B15</f>
        <v>Not easily specified, very location specific.</v>
      </c>
      <c r="J10" t="s">
        <v>74</v>
      </c>
      <c r="P10" s="21" t="s">
        <v>76</v>
      </c>
      <c r="Q10" s="21"/>
      <c r="R10" s="21"/>
      <c r="S10" s="21"/>
      <c r="T10" s="21"/>
      <c r="U10" s="21"/>
      <c r="V10" s="21"/>
      <c r="W10" s="21"/>
      <c r="X10" s="21"/>
      <c r="Y10" s="21"/>
      <c r="Z10" s="21"/>
      <c r="AA10" s="21"/>
    </row>
    <row r="11" spans="1:27" ht="48" customHeight="1" thickBot="1" x14ac:dyDescent="0.3">
      <c r="A11" s="3" t="s">
        <v>4</v>
      </c>
      <c r="B11" s="3" t="s">
        <v>102</v>
      </c>
      <c r="C11" s="1" t="s">
        <v>3</v>
      </c>
      <c r="E11" s="30" t="s">
        <v>75</v>
      </c>
      <c r="F11" s="31" t="s">
        <v>94</v>
      </c>
      <c r="G11" s="31" t="s">
        <v>93</v>
      </c>
      <c r="H11" s="31" t="s">
        <v>90</v>
      </c>
      <c r="I11" s="31" t="s">
        <v>95</v>
      </c>
      <c r="J11" s="344" t="s">
        <v>92</v>
      </c>
      <c r="K11" s="345"/>
      <c r="L11" s="345"/>
      <c r="M11" s="345"/>
      <c r="N11" s="345"/>
      <c r="P11" s="21" t="s">
        <v>77</v>
      </c>
      <c r="Q11" s="22">
        <v>0.9</v>
      </c>
      <c r="R11" s="23">
        <v>0.8</v>
      </c>
      <c r="S11" s="23">
        <v>0.7</v>
      </c>
      <c r="T11" s="24">
        <v>0.6</v>
      </c>
      <c r="U11" s="22">
        <v>0.5</v>
      </c>
      <c r="V11" s="23">
        <v>0.4</v>
      </c>
      <c r="W11" s="23">
        <v>0.3</v>
      </c>
      <c r="X11" s="23">
        <v>0.2</v>
      </c>
      <c r="Y11" s="23">
        <v>0.1</v>
      </c>
      <c r="Z11" s="23">
        <v>0.05</v>
      </c>
      <c r="AA11" s="25">
        <v>18537</v>
      </c>
    </row>
    <row r="12" spans="1:27" ht="19.5" customHeight="1" x14ac:dyDescent="0.25">
      <c r="A12" s="7" t="s">
        <v>49</v>
      </c>
      <c r="B12" s="70" t="s">
        <v>265</v>
      </c>
      <c r="E12" s="26">
        <v>2014</v>
      </c>
      <c r="F12" s="26"/>
      <c r="G12" s="26"/>
      <c r="H12" s="26"/>
      <c r="I12" s="3"/>
      <c r="J12" s="344"/>
      <c r="K12" s="345"/>
      <c r="L12" s="345"/>
      <c r="M12" s="345"/>
      <c r="N12" s="345"/>
      <c r="P12" s="21">
        <v>2011</v>
      </c>
      <c r="Q12" s="21">
        <v>1030</v>
      </c>
      <c r="R12" s="21">
        <v>1035</v>
      </c>
      <c r="S12" s="21">
        <v>1040</v>
      </c>
      <c r="T12" s="21">
        <v>1050</v>
      </c>
      <c r="U12" s="21">
        <v>1070</v>
      </c>
      <c r="V12" s="21">
        <v>1075</v>
      </c>
      <c r="W12" s="21">
        <v>1090</v>
      </c>
      <c r="X12" s="21">
        <v>1095</v>
      </c>
      <c r="Y12" s="21">
        <v>1110</v>
      </c>
      <c r="Z12" s="21">
        <v>1110</v>
      </c>
      <c r="AA12" s="21">
        <v>1.0373829999999999</v>
      </c>
    </row>
    <row r="13" spans="1:27" ht="15" customHeight="1" x14ac:dyDescent="0.25">
      <c r="A13" s="7" t="s">
        <v>50</v>
      </c>
      <c r="B13" s="70" t="s">
        <v>266</v>
      </c>
      <c r="E13" s="26">
        <f>+E12+1</f>
        <v>2015</v>
      </c>
      <c r="F13" s="26"/>
      <c r="G13" s="26"/>
      <c r="H13" s="26"/>
      <c r="I13" s="3"/>
      <c r="J13" s="344" t="s">
        <v>91</v>
      </c>
      <c r="K13" s="345"/>
      <c r="L13" s="345"/>
      <c r="M13" s="345"/>
      <c r="N13" s="345"/>
      <c r="P13" s="21">
        <v>2012</v>
      </c>
      <c r="Q13" s="21">
        <v>1050</v>
      </c>
      <c r="R13" s="21">
        <v>1055</v>
      </c>
      <c r="S13" s="21">
        <v>1060</v>
      </c>
      <c r="T13" s="21">
        <v>1070</v>
      </c>
      <c r="U13" s="21">
        <v>1090</v>
      </c>
      <c r="V13" s="21">
        <v>1095</v>
      </c>
      <c r="W13" s="21">
        <v>1115</v>
      </c>
      <c r="X13" s="21">
        <v>1120</v>
      </c>
      <c r="Y13" s="21">
        <v>1125</v>
      </c>
      <c r="Z13" s="21">
        <v>1135</v>
      </c>
      <c r="AA13" s="21">
        <v>1.0321100000000001</v>
      </c>
    </row>
    <row r="14" spans="1:27" x14ac:dyDescent="0.25">
      <c r="A14" s="7" t="s">
        <v>51</v>
      </c>
      <c r="B14" s="7" t="s">
        <v>267</v>
      </c>
      <c r="C14" s="1" t="s">
        <v>52</v>
      </c>
      <c r="E14" s="26">
        <f t="shared" ref="E14:E31" si="0">+E13+1</f>
        <v>2016</v>
      </c>
      <c r="F14" s="26"/>
      <c r="G14" s="26"/>
      <c r="H14" s="26"/>
      <c r="I14" s="3"/>
      <c r="J14" s="344"/>
      <c r="K14" s="345"/>
      <c r="L14" s="345"/>
      <c r="M14" s="345"/>
      <c r="N14" s="345"/>
      <c r="P14" s="21">
        <v>2013</v>
      </c>
      <c r="Q14" s="21">
        <v>1065</v>
      </c>
      <c r="R14" s="21">
        <v>1070</v>
      </c>
      <c r="S14" s="21">
        <v>1075</v>
      </c>
      <c r="T14" s="21">
        <v>1085</v>
      </c>
      <c r="U14" s="21">
        <v>1105</v>
      </c>
      <c r="V14" s="21">
        <v>1110</v>
      </c>
      <c r="W14" s="21">
        <v>1130</v>
      </c>
      <c r="X14" s="21">
        <v>1135</v>
      </c>
      <c r="Y14" s="21">
        <v>1150</v>
      </c>
      <c r="Z14" s="21">
        <v>1150</v>
      </c>
      <c r="AA14" s="21">
        <v>1.040724</v>
      </c>
    </row>
    <row r="15" spans="1:27" ht="21.75" customHeight="1" x14ac:dyDescent="0.25">
      <c r="A15" s="7" t="s">
        <v>53</v>
      </c>
      <c r="B15" s="18" t="s">
        <v>121</v>
      </c>
      <c r="E15" s="26">
        <f t="shared" si="0"/>
        <v>2017</v>
      </c>
      <c r="F15" s="26"/>
      <c r="G15" s="26"/>
      <c r="H15" s="26"/>
      <c r="I15" s="3"/>
      <c r="J15" s="344"/>
      <c r="K15" s="345"/>
      <c r="L15" s="345"/>
      <c r="M15" s="345"/>
      <c r="N15" s="345"/>
      <c r="P15" s="21">
        <v>2014</v>
      </c>
      <c r="Q15" s="21">
        <v>1080</v>
      </c>
      <c r="R15" s="21">
        <v>1085</v>
      </c>
      <c r="S15" s="21">
        <v>1090</v>
      </c>
      <c r="T15" s="21">
        <v>1100</v>
      </c>
      <c r="U15" s="21">
        <v>1120</v>
      </c>
      <c r="V15" s="21">
        <v>1125</v>
      </c>
      <c r="W15" s="21">
        <v>1145</v>
      </c>
      <c r="X15" s="21">
        <v>1150</v>
      </c>
      <c r="Y15" s="21">
        <v>1165</v>
      </c>
      <c r="Z15" s="21">
        <v>1170</v>
      </c>
      <c r="AA15" s="21">
        <v>1.040179</v>
      </c>
    </row>
    <row r="16" spans="1:27" x14ac:dyDescent="0.25">
      <c r="A16" s="15" t="s">
        <v>41</v>
      </c>
      <c r="B16" s="410" t="s">
        <v>116</v>
      </c>
      <c r="E16" s="26">
        <f t="shared" si="0"/>
        <v>2018</v>
      </c>
      <c r="F16" s="26"/>
      <c r="G16" s="26"/>
      <c r="H16" s="26"/>
      <c r="I16" s="3"/>
      <c r="J16" s="344"/>
      <c r="K16" s="345"/>
      <c r="L16" s="345"/>
      <c r="M16" s="345"/>
      <c r="N16" s="345"/>
      <c r="P16" s="21">
        <v>2015</v>
      </c>
      <c r="Q16" s="21">
        <v>1095</v>
      </c>
      <c r="R16" s="21">
        <v>1100</v>
      </c>
      <c r="S16" s="21">
        <v>1105</v>
      </c>
      <c r="T16" s="21">
        <v>1115</v>
      </c>
      <c r="U16" s="21">
        <v>1135</v>
      </c>
      <c r="V16" s="21">
        <v>1140</v>
      </c>
      <c r="W16" s="21">
        <v>1160</v>
      </c>
      <c r="X16" s="21">
        <v>1165</v>
      </c>
      <c r="Y16" s="21">
        <v>1170</v>
      </c>
      <c r="Z16" s="21">
        <v>1180</v>
      </c>
      <c r="AA16" s="21">
        <v>1.030837</v>
      </c>
    </row>
    <row r="17" spans="1:27" ht="60.75" customHeight="1" x14ac:dyDescent="0.25">
      <c r="A17" s="15" t="s">
        <v>7</v>
      </c>
      <c r="B17" s="411"/>
      <c r="C17" s="1" t="s">
        <v>21</v>
      </c>
      <c r="E17" s="26">
        <f t="shared" si="0"/>
        <v>2019</v>
      </c>
      <c r="F17" s="26"/>
      <c r="G17" s="26"/>
      <c r="H17" s="26"/>
      <c r="I17" s="3"/>
      <c r="J17" s="356"/>
      <c r="K17" s="357"/>
      <c r="L17" s="357"/>
      <c r="M17" s="357"/>
      <c r="N17" s="357"/>
      <c r="P17" s="21">
        <v>2016</v>
      </c>
      <c r="Q17" s="21">
        <v>1105</v>
      </c>
      <c r="R17" s="21">
        <v>1110</v>
      </c>
      <c r="S17" s="21">
        <v>1115</v>
      </c>
      <c r="T17" s="21">
        <v>1125</v>
      </c>
      <c r="U17" s="21">
        <v>1145</v>
      </c>
      <c r="V17" s="21">
        <v>1150</v>
      </c>
      <c r="W17" s="21">
        <v>1170</v>
      </c>
      <c r="X17" s="21">
        <v>1175</v>
      </c>
      <c r="Y17" s="21">
        <v>1190</v>
      </c>
      <c r="Z17" s="21">
        <v>1195</v>
      </c>
      <c r="AA17" s="21">
        <v>1.039301</v>
      </c>
    </row>
    <row r="18" spans="1:27" x14ac:dyDescent="0.25">
      <c r="A18" s="14" t="s">
        <v>72</v>
      </c>
      <c r="B18" s="14"/>
      <c r="C18" s="1" t="s">
        <v>73</v>
      </c>
      <c r="E18" s="26">
        <f t="shared" si="0"/>
        <v>2020</v>
      </c>
      <c r="F18" s="26"/>
      <c r="G18" s="26"/>
      <c r="H18" s="26"/>
      <c r="I18" s="3"/>
      <c r="J18" s="27" t="s">
        <v>89</v>
      </c>
      <c r="K18" s="28"/>
      <c r="L18" s="28"/>
      <c r="M18" s="28"/>
      <c r="N18" s="29"/>
      <c r="P18" s="21">
        <v>2017</v>
      </c>
      <c r="Q18" s="21">
        <v>1115</v>
      </c>
      <c r="R18" s="21">
        <v>1120</v>
      </c>
      <c r="S18" s="21">
        <v>1125</v>
      </c>
      <c r="T18" s="21">
        <v>1135</v>
      </c>
      <c r="U18" s="21">
        <v>1155</v>
      </c>
      <c r="V18" s="21">
        <v>1160</v>
      </c>
      <c r="W18" s="21">
        <v>1180</v>
      </c>
      <c r="X18" s="21">
        <v>1185</v>
      </c>
      <c r="Y18" s="21">
        <v>1195</v>
      </c>
      <c r="Z18" s="21">
        <v>1205</v>
      </c>
      <c r="AA18" s="21">
        <v>1.034632</v>
      </c>
    </row>
    <row r="19" spans="1:27" x14ac:dyDescent="0.25">
      <c r="A19" s="14" t="s">
        <v>68</v>
      </c>
      <c r="B19" s="15"/>
      <c r="C19" s="1" t="s">
        <v>69</v>
      </c>
      <c r="E19" s="26">
        <f t="shared" si="0"/>
        <v>2021</v>
      </c>
      <c r="F19" s="26"/>
      <c r="G19" s="26"/>
      <c r="H19" s="26"/>
      <c r="I19" s="3"/>
      <c r="J19" s="335"/>
      <c r="K19" s="336"/>
      <c r="L19" s="336"/>
      <c r="M19" s="336"/>
      <c r="N19" s="337"/>
      <c r="P19" s="21">
        <v>2018</v>
      </c>
      <c r="Q19" s="21">
        <v>1125</v>
      </c>
      <c r="R19" s="21">
        <v>1130</v>
      </c>
      <c r="S19" s="21">
        <v>1140</v>
      </c>
      <c r="T19" s="21">
        <v>1150</v>
      </c>
      <c r="U19" s="21">
        <v>1170</v>
      </c>
      <c r="V19" s="21">
        <v>1175</v>
      </c>
      <c r="W19" s="21">
        <v>1195</v>
      </c>
      <c r="X19" s="21">
        <v>1200</v>
      </c>
      <c r="Y19" s="21">
        <v>1215</v>
      </c>
      <c r="Z19" s="21">
        <v>1215</v>
      </c>
      <c r="AA19" s="21">
        <v>1.038462</v>
      </c>
    </row>
    <row r="20" spans="1:27" ht="21" customHeight="1" x14ac:dyDescent="0.25">
      <c r="A20" s="14" t="s">
        <v>67</v>
      </c>
      <c r="B20" s="14"/>
      <c r="C20" s="1" t="s">
        <v>70</v>
      </c>
      <c r="E20" s="26">
        <f t="shared" si="0"/>
        <v>2022</v>
      </c>
      <c r="F20" s="26"/>
      <c r="G20" s="26"/>
      <c r="H20" s="26"/>
      <c r="I20" s="3"/>
      <c r="J20" s="338"/>
      <c r="K20" s="339"/>
      <c r="L20" s="339"/>
      <c r="M20" s="339"/>
      <c r="N20" s="340"/>
      <c r="P20" s="21">
        <v>2019</v>
      </c>
      <c r="Q20" s="21">
        <v>1135</v>
      </c>
      <c r="R20" s="21">
        <v>1140</v>
      </c>
      <c r="S20" s="21">
        <v>1150</v>
      </c>
      <c r="T20" s="21">
        <v>1160</v>
      </c>
      <c r="U20" s="21">
        <v>1180</v>
      </c>
      <c r="V20" s="21">
        <v>1185</v>
      </c>
      <c r="W20" s="21">
        <v>1205</v>
      </c>
      <c r="X20" s="21">
        <v>1210</v>
      </c>
      <c r="Y20" s="21">
        <v>1225</v>
      </c>
      <c r="Z20" s="21">
        <v>1230</v>
      </c>
      <c r="AA20" s="21">
        <v>1.0381359999999999</v>
      </c>
    </row>
    <row r="21" spans="1:27" ht="48.75" customHeight="1" x14ac:dyDescent="0.25">
      <c r="A21" s="3" t="s">
        <v>98</v>
      </c>
      <c r="B21" s="71">
        <v>2015</v>
      </c>
      <c r="C21" s="1" t="s">
        <v>58</v>
      </c>
      <c r="E21" s="26">
        <f t="shared" si="0"/>
        <v>2023</v>
      </c>
      <c r="F21" s="26"/>
      <c r="G21" s="26"/>
      <c r="H21" s="26"/>
      <c r="I21" s="3"/>
      <c r="J21" s="341"/>
      <c r="K21" s="342"/>
      <c r="L21" s="342"/>
      <c r="M21" s="342"/>
      <c r="N21" s="343"/>
      <c r="P21" s="21">
        <v>2020</v>
      </c>
      <c r="Q21" s="21">
        <v>1145</v>
      </c>
      <c r="R21" s="21">
        <v>1150</v>
      </c>
      <c r="S21" s="21">
        <v>1155</v>
      </c>
      <c r="T21" s="21">
        <v>1170</v>
      </c>
      <c r="U21" s="21">
        <v>1190</v>
      </c>
      <c r="V21" s="21">
        <v>1195</v>
      </c>
      <c r="W21" s="21">
        <v>1215</v>
      </c>
      <c r="X21" s="21">
        <v>1225</v>
      </c>
      <c r="Y21" s="21">
        <v>1235</v>
      </c>
      <c r="Z21" s="21">
        <v>1240</v>
      </c>
      <c r="AA21" s="21">
        <v>1.0378149999999999</v>
      </c>
    </row>
    <row r="22" spans="1:27" x14ac:dyDescent="0.25">
      <c r="A22" s="3" t="s">
        <v>5</v>
      </c>
      <c r="B22" s="16" t="s">
        <v>115</v>
      </c>
      <c r="C22" s="1" t="s">
        <v>6</v>
      </c>
      <c r="E22" s="26">
        <f t="shared" si="0"/>
        <v>2024</v>
      </c>
      <c r="F22" s="26"/>
      <c r="G22" s="26"/>
      <c r="H22" s="26"/>
      <c r="I22" s="3"/>
      <c r="P22" s="21" t="s">
        <v>78</v>
      </c>
      <c r="Q22" s="21"/>
      <c r="R22" s="21"/>
      <c r="S22" s="21"/>
      <c r="T22" s="21"/>
      <c r="U22" s="21"/>
      <c r="V22" s="21"/>
      <c r="W22" s="21"/>
      <c r="X22" s="21"/>
      <c r="Y22" s="21"/>
      <c r="Z22" s="21"/>
      <c r="AA22" s="21"/>
    </row>
    <row r="23" spans="1:27" ht="34.5" customHeight="1" x14ac:dyDescent="0.25">
      <c r="A23" s="3" t="s">
        <v>55</v>
      </c>
      <c r="B23" s="17" t="s">
        <v>191</v>
      </c>
      <c r="C23" s="1" t="s">
        <v>54</v>
      </c>
      <c r="E23" s="26">
        <f t="shared" si="0"/>
        <v>2025</v>
      </c>
      <c r="F23" s="26"/>
      <c r="G23" s="26"/>
      <c r="H23" s="26"/>
      <c r="I23" s="3"/>
      <c r="J23" s="344" t="s">
        <v>96</v>
      </c>
      <c r="K23" s="345"/>
      <c r="L23" s="345"/>
      <c r="M23" s="345"/>
      <c r="N23" s="345"/>
      <c r="P23" s="21" t="s">
        <v>79</v>
      </c>
      <c r="Q23" s="21">
        <v>1030</v>
      </c>
      <c r="R23" s="21">
        <v>1035</v>
      </c>
      <c r="S23" s="21">
        <v>1035</v>
      </c>
      <c r="T23" s="21">
        <v>1035</v>
      </c>
      <c r="U23" s="21">
        <v>1045</v>
      </c>
      <c r="V23" s="21">
        <v>1050</v>
      </c>
      <c r="W23" s="21">
        <v>1055</v>
      </c>
      <c r="X23" s="21">
        <v>1055</v>
      </c>
      <c r="Y23" s="21">
        <v>1060</v>
      </c>
      <c r="Z23" s="21">
        <v>1070</v>
      </c>
      <c r="AA23" s="21">
        <v>1.014354</v>
      </c>
    </row>
    <row r="24" spans="1:27" ht="30.75" customHeight="1" x14ac:dyDescent="0.25">
      <c r="A24" s="3" t="s">
        <v>56</v>
      </c>
      <c r="B24" s="16" t="s">
        <v>116</v>
      </c>
      <c r="C24" s="1" t="s">
        <v>57</v>
      </c>
      <c r="E24" s="26">
        <f t="shared" si="0"/>
        <v>2026</v>
      </c>
      <c r="F24" s="26"/>
      <c r="G24" s="26"/>
      <c r="H24" s="26"/>
      <c r="I24" s="3"/>
      <c r="J24" s="344"/>
      <c r="K24" s="345"/>
      <c r="L24" s="345"/>
      <c r="M24" s="345"/>
      <c r="N24" s="345"/>
      <c r="P24" s="21" t="s">
        <v>80</v>
      </c>
      <c r="Q24" s="21">
        <v>1040</v>
      </c>
      <c r="R24" s="21">
        <v>1045</v>
      </c>
      <c r="S24" s="21">
        <v>1045</v>
      </c>
      <c r="T24" s="21">
        <v>1045</v>
      </c>
      <c r="U24" s="21">
        <v>1055</v>
      </c>
      <c r="V24" s="21">
        <v>1060</v>
      </c>
      <c r="W24" s="21">
        <v>1065</v>
      </c>
      <c r="X24" s="21">
        <v>1065</v>
      </c>
      <c r="Y24" s="21">
        <v>1070</v>
      </c>
      <c r="Z24" s="21">
        <v>1080</v>
      </c>
      <c r="AA24" s="21">
        <v>1.0142180000000001</v>
      </c>
    </row>
    <row r="25" spans="1:27" x14ac:dyDescent="0.25">
      <c r="A25" s="12"/>
      <c r="B25" s="13"/>
      <c r="E25" s="26">
        <f t="shared" si="0"/>
        <v>2027</v>
      </c>
      <c r="F25" s="26"/>
      <c r="G25" s="26"/>
      <c r="H25" s="26"/>
      <c r="I25" s="3"/>
      <c r="J25" s="344"/>
      <c r="K25" s="345"/>
      <c r="L25" s="345"/>
      <c r="M25" s="345"/>
      <c r="N25" s="345"/>
      <c r="P25" s="21" t="s">
        <v>81</v>
      </c>
      <c r="Q25" s="21">
        <v>1050</v>
      </c>
      <c r="R25" s="21">
        <v>1055</v>
      </c>
      <c r="S25" s="21">
        <v>1055</v>
      </c>
      <c r="T25" s="21">
        <v>1055</v>
      </c>
      <c r="U25" s="21">
        <v>1065</v>
      </c>
      <c r="V25" s="21">
        <v>1070</v>
      </c>
      <c r="W25" s="21">
        <v>1075</v>
      </c>
      <c r="X25" s="21">
        <v>1075</v>
      </c>
      <c r="Y25" s="21">
        <v>1080</v>
      </c>
      <c r="Z25" s="21">
        <v>1095</v>
      </c>
      <c r="AA25" s="21">
        <v>1.0140849999999999</v>
      </c>
    </row>
    <row r="26" spans="1:27" x14ac:dyDescent="0.25">
      <c r="A26" s="372" t="s">
        <v>71</v>
      </c>
      <c r="B26" s="372"/>
      <c r="E26" s="26">
        <f t="shared" si="0"/>
        <v>2028</v>
      </c>
      <c r="F26" s="26"/>
      <c r="G26" s="26"/>
      <c r="H26" s="26"/>
      <c r="I26" s="3"/>
      <c r="P26" s="21" t="s">
        <v>82</v>
      </c>
      <c r="Q26" s="21">
        <v>1055</v>
      </c>
      <c r="R26" s="21">
        <v>1060</v>
      </c>
      <c r="S26" s="21">
        <v>1060</v>
      </c>
      <c r="T26" s="21">
        <v>1060</v>
      </c>
      <c r="U26" s="21">
        <v>1070</v>
      </c>
      <c r="V26" s="21">
        <v>1075</v>
      </c>
      <c r="W26" s="21">
        <v>1080</v>
      </c>
      <c r="X26" s="21">
        <v>1080</v>
      </c>
      <c r="Y26" s="21">
        <v>1085</v>
      </c>
      <c r="Z26" s="21">
        <v>1095</v>
      </c>
      <c r="AA26" s="21">
        <v>1.014019</v>
      </c>
    </row>
    <row r="27" spans="1:27" x14ac:dyDescent="0.25">
      <c r="A27" s="3" t="s">
        <v>28</v>
      </c>
      <c r="B27" s="3"/>
      <c r="E27" s="26">
        <f t="shared" si="0"/>
        <v>2029</v>
      </c>
      <c r="F27" s="26"/>
      <c r="G27" s="26"/>
      <c r="H27" s="26"/>
      <c r="I27" s="3"/>
      <c r="P27" s="21" t="s">
        <v>83</v>
      </c>
      <c r="Q27" s="21">
        <v>1060</v>
      </c>
      <c r="R27" s="21">
        <v>1065</v>
      </c>
      <c r="S27" s="21">
        <v>1065</v>
      </c>
      <c r="T27" s="21">
        <v>1065</v>
      </c>
      <c r="U27" s="21">
        <v>1075</v>
      </c>
      <c r="V27" s="21">
        <v>1080</v>
      </c>
      <c r="W27" s="21">
        <v>1085</v>
      </c>
      <c r="X27" s="21">
        <v>1085</v>
      </c>
      <c r="Y27" s="21">
        <v>1090</v>
      </c>
      <c r="Z27" s="21">
        <v>1110</v>
      </c>
      <c r="AA27" s="21">
        <v>1.0139530000000001</v>
      </c>
    </row>
    <row r="28" spans="1:27" x14ac:dyDescent="0.25">
      <c r="A28" s="3" t="s">
        <v>29</v>
      </c>
      <c r="B28" s="3"/>
      <c r="E28" s="26">
        <f t="shared" si="0"/>
        <v>2030</v>
      </c>
      <c r="F28" s="26"/>
      <c r="G28" s="26"/>
      <c r="H28" s="26"/>
      <c r="I28" s="3"/>
      <c r="P28" s="21" t="s">
        <v>84</v>
      </c>
      <c r="Q28" s="21">
        <v>1065</v>
      </c>
      <c r="R28" s="21">
        <v>1070</v>
      </c>
      <c r="S28" s="21">
        <v>1070</v>
      </c>
      <c r="T28" s="21">
        <v>1070</v>
      </c>
      <c r="U28" s="21">
        <v>1080</v>
      </c>
      <c r="V28" s="21">
        <v>1085</v>
      </c>
      <c r="W28" s="21">
        <v>1090</v>
      </c>
      <c r="X28" s="21">
        <v>1090</v>
      </c>
      <c r="Y28" s="21">
        <v>1100</v>
      </c>
      <c r="Z28" s="21">
        <v>1110</v>
      </c>
      <c r="AA28" s="21">
        <v>1.018519</v>
      </c>
    </row>
    <row r="29" spans="1:27" ht="39.75" customHeight="1" x14ac:dyDescent="0.25">
      <c r="A29" s="3" t="s">
        <v>30</v>
      </c>
      <c r="B29" s="17"/>
      <c r="C29" s="1" t="s">
        <v>43</v>
      </c>
      <c r="E29" s="26">
        <f t="shared" si="0"/>
        <v>2031</v>
      </c>
      <c r="F29" s="26"/>
      <c r="G29" s="26"/>
      <c r="H29" s="26"/>
      <c r="I29" s="3"/>
      <c r="P29" s="21" t="s">
        <v>85</v>
      </c>
      <c r="Q29" s="21">
        <v>1075</v>
      </c>
      <c r="R29" s="21">
        <v>1080</v>
      </c>
      <c r="S29" s="21">
        <v>1080</v>
      </c>
      <c r="T29" s="21">
        <v>1080</v>
      </c>
      <c r="U29" s="21">
        <v>1090</v>
      </c>
      <c r="V29" s="21">
        <v>1095</v>
      </c>
      <c r="W29" s="21">
        <v>1100</v>
      </c>
      <c r="X29" s="21">
        <v>1100</v>
      </c>
      <c r="Y29" s="21">
        <v>1105</v>
      </c>
      <c r="Z29" s="21">
        <v>1120</v>
      </c>
      <c r="AA29" s="21">
        <v>1.0137609999999999</v>
      </c>
    </row>
    <row r="30" spans="1:27" x14ac:dyDescent="0.25">
      <c r="A30" s="3" t="s">
        <v>44</v>
      </c>
      <c r="B30" s="3"/>
      <c r="E30" s="26">
        <f t="shared" si="0"/>
        <v>2032</v>
      </c>
      <c r="F30" s="26"/>
      <c r="G30" s="26"/>
      <c r="H30" s="26"/>
      <c r="I30" s="3"/>
      <c r="P30" s="21" t="s">
        <v>86</v>
      </c>
      <c r="Q30" s="21">
        <v>1080</v>
      </c>
      <c r="R30" s="21">
        <v>1085</v>
      </c>
      <c r="S30" s="21">
        <v>1085</v>
      </c>
      <c r="T30" s="21">
        <v>1085</v>
      </c>
      <c r="U30" s="21">
        <v>1095</v>
      </c>
      <c r="V30" s="21">
        <v>1100</v>
      </c>
      <c r="W30" s="21">
        <v>1105</v>
      </c>
      <c r="X30" s="21">
        <v>1105</v>
      </c>
      <c r="Y30" s="21">
        <v>1110</v>
      </c>
      <c r="Z30" s="21">
        <v>1120</v>
      </c>
      <c r="AA30" s="21">
        <v>1.0136989999999999</v>
      </c>
    </row>
    <row r="31" spans="1:27" x14ac:dyDescent="0.25">
      <c r="A31" s="3" t="s">
        <v>47</v>
      </c>
      <c r="B31" s="3"/>
      <c r="E31" s="26">
        <f t="shared" si="0"/>
        <v>2033</v>
      </c>
      <c r="F31" s="26"/>
      <c r="G31" s="26"/>
      <c r="H31" s="26"/>
      <c r="I31" s="3"/>
      <c r="P31" s="21" t="s">
        <v>87</v>
      </c>
      <c r="Q31" s="21">
        <v>1085</v>
      </c>
      <c r="R31" s="21">
        <v>1090</v>
      </c>
      <c r="S31" s="21">
        <v>1090</v>
      </c>
      <c r="T31" s="21">
        <v>1090</v>
      </c>
      <c r="U31" s="21">
        <v>1100</v>
      </c>
      <c r="V31" s="21">
        <v>1105</v>
      </c>
      <c r="W31" s="21">
        <v>1110</v>
      </c>
      <c r="X31" s="21">
        <v>1110</v>
      </c>
      <c r="Y31" s="21">
        <v>1115</v>
      </c>
      <c r="Z31" s="21">
        <v>1125</v>
      </c>
      <c r="AA31" s="21">
        <v>1.013636</v>
      </c>
    </row>
    <row r="32" spans="1:27" x14ac:dyDescent="0.25">
      <c r="A32" s="3" t="s">
        <v>45</v>
      </c>
      <c r="B32" s="3"/>
      <c r="P32" s="21" t="s">
        <v>88</v>
      </c>
      <c r="Q32" s="21">
        <v>1090</v>
      </c>
      <c r="R32" s="21">
        <v>1095</v>
      </c>
      <c r="S32" s="21">
        <v>1095</v>
      </c>
      <c r="T32" s="21">
        <v>1095</v>
      </c>
      <c r="U32" s="21">
        <v>1105</v>
      </c>
      <c r="V32" s="21">
        <v>1110</v>
      </c>
      <c r="W32" s="21">
        <v>1115</v>
      </c>
      <c r="X32" s="21">
        <v>1115</v>
      </c>
      <c r="Y32" s="21">
        <v>1120</v>
      </c>
      <c r="Z32" s="21">
        <v>1130</v>
      </c>
      <c r="AA32" s="21">
        <v>1.0135749999999999</v>
      </c>
    </row>
    <row r="33" spans="1:2" x14ac:dyDescent="0.25">
      <c r="A33" s="3" t="s">
        <v>46</v>
      </c>
      <c r="B33" s="3"/>
    </row>
    <row r="34" spans="1:2" x14ac:dyDescent="0.25">
      <c r="A34" s="84"/>
    </row>
  </sheetData>
  <mergeCells count="10">
    <mergeCell ref="C1:G1"/>
    <mergeCell ref="J19:N21"/>
    <mergeCell ref="J23:N25"/>
    <mergeCell ref="A26:B26"/>
    <mergeCell ref="A6:B6"/>
    <mergeCell ref="E9:I9"/>
    <mergeCell ref="E10:H10"/>
    <mergeCell ref="J11:N12"/>
    <mergeCell ref="J13:N17"/>
    <mergeCell ref="B16:B17"/>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A1:AA34"/>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52.5" customHeight="1" x14ac:dyDescent="0.3">
      <c r="A1" s="112" t="s">
        <v>292</v>
      </c>
      <c r="B1" s="10"/>
      <c r="C1" s="122"/>
      <c r="D1" s="122"/>
      <c r="E1" s="122"/>
      <c r="F1" s="122"/>
      <c r="G1" s="122"/>
    </row>
    <row r="2" spans="1:27" ht="29.25" customHeight="1" x14ac:dyDescent="0.25">
      <c r="A2" s="118" t="s">
        <v>260</v>
      </c>
    </row>
    <row r="3" spans="1:27" ht="15" customHeight="1" x14ac:dyDescent="0.25">
      <c r="A3" s="2" t="s">
        <v>8</v>
      </c>
      <c r="B3" s="2"/>
    </row>
    <row r="4" spans="1:27" ht="15" customHeight="1" x14ac:dyDescent="0.25">
      <c r="A4" s="9" t="s">
        <v>9</v>
      </c>
      <c r="B4" s="9"/>
    </row>
    <row r="5" spans="1:27" x14ac:dyDescent="0.25">
      <c r="C5" s="1" t="s">
        <v>31</v>
      </c>
    </row>
    <row r="6" spans="1:27" x14ac:dyDescent="0.25">
      <c r="A6" s="373" t="s">
        <v>10</v>
      </c>
      <c r="B6" s="374"/>
    </row>
    <row r="7" spans="1:27" ht="21" customHeight="1" x14ac:dyDescent="0.25">
      <c r="A7" s="3" t="s">
        <v>0</v>
      </c>
      <c r="B7" s="3" t="s">
        <v>301</v>
      </c>
    </row>
    <row r="8" spans="1:27" ht="285" customHeight="1" x14ac:dyDescent="0.25">
      <c r="A8" s="3" t="s">
        <v>2</v>
      </c>
      <c r="B8" s="115" t="s">
        <v>272</v>
      </c>
    </row>
    <row r="9" spans="1:27" ht="285.75" customHeight="1" x14ac:dyDescent="0.25">
      <c r="A9" s="3" t="s">
        <v>257</v>
      </c>
      <c r="B9" s="115" t="s">
        <v>303</v>
      </c>
      <c r="E9" s="409" t="s">
        <v>100</v>
      </c>
      <c r="F9" s="409"/>
      <c r="G9" s="409"/>
      <c r="H9" s="409"/>
      <c r="I9" s="409"/>
    </row>
    <row r="10" spans="1:27" ht="15.75" thickBot="1" x14ac:dyDescent="0.3">
      <c r="A10" s="3" t="s">
        <v>1</v>
      </c>
      <c r="B10" s="3" t="s">
        <v>269</v>
      </c>
      <c r="C10" s="1" t="s">
        <v>48</v>
      </c>
      <c r="E10" s="353" t="s">
        <v>53</v>
      </c>
      <c r="F10" s="354"/>
      <c r="G10" s="354"/>
      <c r="H10" s="355"/>
      <c r="I10" s="3" t="str">
        <f>B15</f>
        <v>14 MVA (Wilder)</v>
      </c>
      <c r="J10" t="s">
        <v>74</v>
      </c>
      <c r="P10" s="21" t="s">
        <v>76</v>
      </c>
      <c r="Q10" s="21"/>
      <c r="R10" s="21"/>
      <c r="S10" s="21"/>
      <c r="T10" s="21"/>
      <c r="U10" s="21"/>
      <c r="V10" s="21"/>
      <c r="W10" s="21"/>
      <c r="X10" s="21"/>
      <c r="Y10" s="21"/>
      <c r="Z10" s="21"/>
      <c r="AA10" s="21"/>
    </row>
    <row r="11" spans="1:27" ht="48" customHeight="1" thickBot="1" x14ac:dyDescent="0.3">
      <c r="A11" s="3" t="s">
        <v>4</v>
      </c>
      <c r="B11" s="3" t="s">
        <v>102</v>
      </c>
      <c r="C11" s="1" t="s">
        <v>3</v>
      </c>
      <c r="E11" s="30" t="s">
        <v>75</v>
      </c>
      <c r="F11" s="31" t="s">
        <v>94</v>
      </c>
      <c r="G11" s="31" t="s">
        <v>93</v>
      </c>
      <c r="H11" s="31" t="s">
        <v>90</v>
      </c>
      <c r="I11" s="31" t="s">
        <v>95</v>
      </c>
      <c r="J11" s="344" t="s">
        <v>92</v>
      </c>
      <c r="K11" s="345"/>
      <c r="L11" s="345"/>
      <c r="M11" s="345"/>
      <c r="N11" s="345"/>
      <c r="P11" s="21" t="s">
        <v>77</v>
      </c>
      <c r="Q11" s="22">
        <v>0.9</v>
      </c>
      <c r="R11" s="23">
        <v>0.8</v>
      </c>
      <c r="S11" s="23">
        <v>0.7</v>
      </c>
      <c r="T11" s="24">
        <v>0.6</v>
      </c>
      <c r="U11" s="22">
        <v>0.5</v>
      </c>
      <c r="V11" s="23">
        <v>0.4</v>
      </c>
      <c r="W11" s="23">
        <v>0.3</v>
      </c>
      <c r="X11" s="23">
        <v>0.2</v>
      </c>
      <c r="Y11" s="23">
        <v>0.1</v>
      </c>
      <c r="Z11" s="23">
        <v>0.05</v>
      </c>
      <c r="AA11" s="25">
        <v>18537</v>
      </c>
    </row>
    <row r="12" spans="1:27" ht="19.5" customHeight="1" x14ac:dyDescent="0.25">
      <c r="A12" s="7" t="s">
        <v>49</v>
      </c>
      <c r="B12" s="7" t="s">
        <v>112</v>
      </c>
      <c r="E12" s="26">
        <v>2014</v>
      </c>
      <c r="F12" s="26"/>
      <c r="G12" s="26"/>
      <c r="H12" s="26"/>
      <c r="I12" s="3"/>
      <c r="J12" s="344"/>
      <c r="K12" s="345"/>
      <c r="L12" s="345"/>
      <c r="M12" s="345"/>
      <c r="N12" s="345"/>
      <c r="P12" s="21">
        <v>2011</v>
      </c>
      <c r="Q12" s="21">
        <v>1030</v>
      </c>
      <c r="R12" s="21">
        <v>1035</v>
      </c>
      <c r="S12" s="21">
        <v>1040</v>
      </c>
      <c r="T12" s="21">
        <v>1050</v>
      </c>
      <c r="U12" s="21">
        <v>1070</v>
      </c>
      <c r="V12" s="21">
        <v>1075</v>
      </c>
      <c r="W12" s="21">
        <v>1090</v>
      </c>
      <c r="X12" s="21">
        <v>1095</v>
      </c>
      <c r="Y12" s="21">
        <v>1110</v>
      </c>
      <c r="Z12" s="21">
        <v>1110</v>
      </c>
      <c r="AA12" s="21">
        <v>1.0373829999999999</v>
      </c>
    </row>
    <row r="13" spans="1:27" ht="15" customHeight="1" x14ac:dyDescent="0.25">
      <c r="A13" s="7" t="s">
        <v>50</v>
      </c>
      <c r="B13" s="7"/>
      <c r="E13" s="26">
        <f>+E12+1</f>
        <v>2015</v>
      </c>
      <c r="F13" s="26"/>
      <c r="G13" s="26"/>
      <c r="H13" s="26"/>
      <c r="I13" s="3"/>
      <c r="J13" s="344" t="s">
        <v>91</v>
      </c>
      <c r="K13" s="345"/>
      <c r="L13" s="345"/>
      <c r="M13" s="345"/>
      <c r="N13" s="345"/>
      <c r="P13" s="21">
        <v>2012</v>
      </c>
      <c r="Q13" s="21">
        <v>1050</v>
      </c>
      <c r="R13" s="21">
        <v>1055</v>
      </c>
      <c r="S13" s="21">
        <v>1060</v>
      </c>
      <c r="T13" s="21">
        <v>1070</v>
      </c>
      <c r="U13" s="21">
        <v>1090</v>
      </c>
      <c r="V13" s="21">
        <v>1095</v>
      </c>
      <c r="W13" s="21">
        <v>1115</v>
      </c>
      <c r="X13" s="21">
        <v>1120</v>
      </c>
      <c r="Y13" s="21">
        <v>1125</v>
      </c>
      <c r="Z13" s="21">
        <v>1135</v>
      </c>
      <c r="AA13" s="21">
        <v>1.0321100000000001</v>
      </c>
    </row>
    <row r="14" spans="1:27" x14ac:dyDescent="0.25">
      <c r="A14" s="7" t="s">
        <v>51</v>
      </c>
      <c r="B14" s="7"/>
      <c r="C14" s="1" t="s">
        <v>52</v>
      </c>
      <c r="E14" s="26">
        <f t="shared" ref="E14:E31" si="0">+E13+1</f>
        <v>2016</v>
      </c>
      <c r="F14" s="26"/>
      <c r="G14" s="26"/>
      <c r="H14" s="26"/>
      <c r="I14" s="3"/>
      <c r="J14" s="344"/>
      <c r="K14" s="345"/>
      <c r="L14" s="345"/>
      <c r="M14" s="345"/>
      <c r="N14" s="345"/>
      <c r="P14" s="21">
        <v>2013</v>
      </c>
      <c r="Q14" s="21">
        <v>1065</v>
      </c>
      <c r="R14" s="21">
        <v>1070</v>
      </c>
      <c r="S14" s="21">
        <v>1075</v>
      </c>
      <c r="T14" s="21">
        <v>1085</v>
      </c>
      <c r="U14" s="21">
        <v>1105</v>
      </c>
      <c r="V14" s="21">
        <v>1110</v>
      </c>
      <c r="W14" s="21">
        <v>1130</v>
      </c>
      <c r="X14" s="21">
        <v>1135</v>
      </c>
      <c r="Y14" s="21">
        <v>1150</v>
      </c>
      <c r="Z14" s="21">
        <v>1150</v>
      </c>
      <c r="AA14" s="21">
        <v>1.040724</v>
      </c>
    </row>
    <row r="15" spans="1:27" ht="21.75" customHeight="1" x14ac:dyDescent="0.25">
      <c r="A15" s="7" t="s">
        <v>53</v>
      </c>
      <c r="B15" s="18" t="s">
        <v>113</v>
      </c>
      <c r="E15" s="26">
        <f t="shared" si="0"/>
        <v>2017</v>
      </c>
      <c r="F15" s="26"/>
      <c r="G15" s="26"/>
      <c r="H15" s="26"/>
      <c r="I15" s="3"/>
      <c r="J15" s="344"/>
      <c r="K15" s="345"/>
      <c r="L15" s="345"/>
      <c r="M15" s="345"/>
      <c r="N15" s="345"/>
      <c r="P15" s="21">
        <v>2014</v>
      </c>
      <c r="Q15" s="21">
        <v>1080</v>
      </c>
      <c r="R15" s="21">
        <v>1085</v>
      </c>
      <c r="S15" s="21">
        <v>1090</v>
      </c>
      <c r="T15" s="21">
        <v>1100</v>
      </c>
      <c r="U15" s="21">
        <v>1120</v>
      </c>
      <c r="V15" s="21">
        <v>1125</v>
      </c>
      <c r="W15" s="21">
        <v>1145</v>
      </c>
      <c r="X15" s="21">
        <v>1150</v>
      </c>
      <c r="Y15" s="21">
        <v>1165</v>
      </c>
      <c r="Z15" s="21">
        <v>1170</v>
      </c>
      <c r="AA15" s="21">
        <v>1.040179</v>
      </c>
    </row>
    <row r="16" spans="1:27" x14ac:dyDescent="0.25">
      <c r="A16" s="14" t="s">
        <v>41</v>
      </c>
      <c r="B16" s="447" t="s">
        <v>116</v>
      </c>
      <c r="E16" s="26">
        <f t="shared" si="0"/>
        <v>2018</v>
      </c>
      <c r="F16" s="26"/>
      <c r="G16" s="26"/>
      <c r="H16" s="26"/>
      <c r="I16" s="3"/>
      <c r="J16" s="344"/>
      <c r="K16" s="345"/>
      <c r="L16" s="345"/>
      <c r="M16" s="345"/>
      <c r="N16" s="345"/>
      <c r="P16" s="21">
        <v>2015</v>
      </c>
      <c r="Q16" s="21">
        <v>1095</v>
      </c>
      <c r="R16" s="21">
        <v>1100</v>
      </c>
      <c r="S16" s="21">
        <v>1105</v>
      </c>
      <c r="T16" s="21">
        <v>1115</v>
      </c>
      <c r="U16" s="21">
        <v>1135</v>
      </c>
      <c r="V16" s="21">
        <v>1140</v>
      </c>
      <c r="W16" s="21">
        <v>1160</v>
      </c>
      <c r="X16" s="21">
        <v>1165</v>
      </c>
      <c r="Y16" s="21">
        <v>1170</v>
      </c>
      <c r="Z16" s="21">
        <v>1180</v>
      </c>
      <c r="AA16" s="21">
        <v>1.030837</v>
      </c>
    </row>
    <row r="17" spans="1:27" ht="72" customHeight="1" x14ac:dyDescent="0.25">
      <c r="A17" s="14" t="s">
        <v>7</v>
      </c>
      <c r="B17" s="448"/>
      <c r="C17" s="1" t="s">
        <v>21</v>
      </c>
      <c r="E17" s="26">
        <f t="shared" si="0"/>
        <v>2019</v>
      </c>
      <c r="F17" s="26"/>
      <c r="G17" s="26"/>
      <c r="H17" s="26"/>
      <c r="I17" s="3"/>
      <c r="J17" s="356"/>
      <c r="K17" s="357"/>
      <c r="L17" s="357"/>
      <c r="M17" s="357"/>
      <c r="N17" s="357"/>
      <c r="P17" s="21">
        <v>2016</v>
      </c>
      <c r="Q17" s="21">
        <v>1105</v>
      </c>
      <c r="R17" s="21">
        <v>1110</v>
      </c>
      <c r="S17" s="21">
        <v>1115</v>
      </c>
      <c r="T17" s="21">
        <v>1125</v>
      </c>
      <c r="U17" s="21">
        <v>1145</v>
      </c>
      <c r="V17" s="21">
        <v>1150</v>
      </c>
      <c r="W17" s="21">
        <v>1170</v>
      </c>
      <c r="X17" s="21">
        <v>1175</v>
      </c>
      <c r="Y17" s="21">
        <v>1190</v>
      </c>
      <c r="Z17" s="21">
        <v>1195</v>
      </c>
      <c r="AA17" s="21">
        <v>1.039301</v>
      </c>
    </row>
    <row r="18" spans="1:27" x14ac:dyDescent="0.25">
      <c r="A18" s="14" t="s">
        <v>72</v>
      </c>
      <c r="B18" s="14"/>
      <c r="C18" s="1" t="s">
        <v>73</v>
      </c>
      <c r="E18" s="26">
        <f t="shared" si="0"/>
        <v>2020</v>
      </c>
      <c r="F18" s="26"/>
      <c r="G18" s="26"/>
      <c r="H18" s="26"/>
      <c r="I18" s="3"/>
      <c r="J18" s="27" t="s">
        <v>89</v>
      </c>
      <c r="K18" s="28"/>
      <c r="L18" s="28"/>
      <c r="M18" s="28"/>
      <c r="N18" s="29"/>
      <c r="P18" s="21">
        <v>2017</v>
      </c>
      <c r="Q18" s="21">
        <v>1115</v>
      </c>
      <c r="R18" s="21">
        <v>1120</v>
      </c>
      <c r="S18" s="21">
        <v>1125</v>
      </c>
      <c r="T18" s="21">
        <v>1135</v>
      </c>
      <c r="U18" s="21">
        <v>1155</v>
      </c>
      <c r="V18" s="21">
        <v>1160</v>
      </c>
      <c r="W18" s="21">
        <v>1180</v>
      </c>
      <c r="X18" s="21">
        <v>1185</v>
      </c>
      <c r="Y18" s="21">
        <v>1195</v>
      </c>
      <c r="Z18" s="21">
        <v>1205</v>
      </c>
      <c r="AA18" s="21">
        <v>1.034632</v>
      </c>
    </row>
    <row r="19" spans="1:27" x14ac:dyDescent="0.25">
      <c r="A19" s="14" t="s">
        <v>68</v>
      </c>
      <c r="B19" s="15">
        <v>8</v>
      </c>
      <c r="C19" s="1" t="s">
        <v>69</v>
      </c>
      <c r="E19" s="26">
        <f t="shared" si="0"/>
        <v>2021</v>
      </c>
      <c r="F19" s="26"/>
      <c r="G19" s="26"/>
      <c r="H19" s="26"/>
      <c r="I19" s="3"/>
      <c r="J19" s="335"/>
      <c r="K19" s="336"/>
      <c r="L19" s="336"/>
      <c r="M19" s="336"/>
      <c r="N19" s="337"/>
      <c r="P19" s="21">
        <v>2018</v>
      </c>
      <c r="Q19" s="21">
        <v>1125</v>
      </c>
      <c r="R19" s="21">
        <v>1130</v>
      </c>
      <c r="S19" s="21">
        <v>1140</v>
      </c>
      <c r="T19" s="21">
        <v>1150</v>
      </c>
      <c r="U19" s="21">
        <v>1170</v>
      </c>
      <c r="V19" s="21">
        <v>1175</v>
      </c>
      <c r="W19" s="21">
        <v>1195</v>
      </c>
      <c r="X19" s="21">
        <v>1200</v>
      </c>
      <c r="Y19" s="21">
        <v>1215</v>
      </c>
      <c r="Z19" s="21">
        <v>1215</v>
      </c>
      <c r="AA19" s="21">
        <v>1.038462</v>
      </c>
    </row>
    <row r="20" spans="1:27" ht="21" customHeight="1" x14ac:dyDescent="0.25">
      <c r="A20" s="14" t="s">
        <v>67</v>
      </c>
      <c r="B20" s="14" t="s">
        <v>114</v>
      </c>
      <c r="C20" s="1" t="s">
        <v>70</v>
      </c>
      <c r="E20" s="26">
        <f t="shared" si="0"/>
        <v>2022</v>
      </c>
      <c r="F20" s="26"/>
      <c r="G20" s="26"/>
      <c r="H20" s="26"/>
      <c r="I20" s="3"/>
      <c r="J20" s="338"/>
      <c r="K20" s="339"/>
      <c r="L20" s="339"/>
      <c r="M20" s="339"/>
      <c r="N20" s="340"/>
      <c r="P20" s="21">
        <v>2019</v>
      </c>
      <c r="Q20" s="21">
        <v>1135</v>
      </c>
      <c r="R20" s="21">
        <v>1140</v>
      </c>
      <c r="S20" s="21">
        <v>1150</v>
      </c>
      <c r="T20" s="21">
        <v>1160</v>
      </c>
      <c r="U20" s="21">
        <v>1180</v>
      </c>
      <c r="V20" s="21">
        <v>1185</v>
      </c>
      <c r="W20" s="21">
        <v>1205</v>
      </c>
      <c r="X20" s="21">
        <v>1210</v>
      </c>
      <c r="Y20" s="21">
        <v>1225</v>
      </c>
      <c r="Z20" s="21">
        <v>1230</v>
      </c>
      <c r="AA20" s="21">
        <v>1.0381359999999999</v>
      </c>
    </row>
    <row r="21" spans="1:27" ht="48.75" customHeight="1" x14ac:dyDescent="0.25">
      <c r="A21" s="3" t="s">
        <v>98</v>
      </c>
      <c r="B21" s="71" t="s">
        <v>271</v>
      </c>
      <c r="C21" s="1" t="s">
        <v>58</v>
      </c>
      <c r="E21" s="26">
        <f t="shared" si="0"/>
        <v>2023</v>
      </c>
      <c r="F21" s="26"/>
      <c r="G21" s="26"/>
      <c r="H21" s="26"/>
      <c r="I21" s="3"/>
      <c r="J21" s="341"/>
      <c r="K21" s="342"/>
      <c r="L21" s="342"/>
      <c r="M21" s="342"/>
      <c r="N21" s="343"/>
      <c r="P21" s="21">
        <v>2020</v>
      </c>
      <c r="Q21" s="21">
        <v>1145</v>
      </c>
      <c r="R21" s="21">
        <v>1150</v>
      </c>
      <c r="S21" s="21">
        <v>1155</v>
      </c>
      <c r="T21" s="21">
        <v>1170</v>
      </c>
      <c r="U21" s="21">
        <v>1190</v>
      </c>
      <c r="V21" s="21">
        <v>1195</v>
      </c>
      <c r="W21" s="21">
        <v>1215</v>
      </c>
      <c r="X21" s="21">
        <v>1225</v>
      </c>
      <c r="Y21" s="21">
        <v>1235</v>
      </c>
      <c r="Z21" s="21">
        <v>1240</v>
      </c>
      <c r="AA21" s="21">
        <v>1.0378149999999999</v>
      </c>
    </row>
    <row r="22" spans="1:27" x14ac:dyDescent="0.25">
      <c r="A22" s="3" t="s">
        <v>5</v>
      </c>
      <c r="B22" s="16" t="s">
        <v>270</v>
      </c>
      <c r="C22" s="1" t="s">
        <v>6</v>
      </c>
      <c r="E22" s="26">
        <f t="shared" si="0"/>
        <v>2024</v>
      </c>
      <c r="F22" s="26"/>
      <c r="G22" s="26"/>
      <c r="H22" s="26"/>
      <c r="I22" s="3"/>
      <c r="P22" s="21" t="s">
        <v>78</v>
      </c>
      <c r="Q22" s="21"/>
      <c r="R22" s="21"/>
      <c r="S22" s="21"/>
      <c r="T22" s="21"/>
      <c r="U22" s="21"/>
      <c r="V22" s="21"/>
      <c r="W22" s="21"/>
      <c r="X22" s="21"/>
      <c r="Y22" s="21"/>
      <c r="Z22" s="21"/>
      <c r="AA22" s="21"/>
    </row>
    <row r="23" spans="1:27" ht="34.5" customHeight="1" x14ac:dyDescent="0.25">
      <c r="A23" s="3" t="s">
        <v>55</v>
      </c>
      <c r="B23" s="17" t="s">
        <v>191</v>
      </c>
      <c r="C23" s="1" t="s">
        <v>54</v>
      </c>
      <c r="E23" s="26">
        <f t="shared" si="0"/>
        <v>2025</v>
      </c>
      <c r="F23" s="26"/>
      <c r="G23" s="26"/>
      <c r="H23" s="26"/>
      <c r="I23" s="3"/>
      <c r="J23" s="344" t="s">
        <v>96</v>
      </c>
      <c r="K23" s="345"/>
      <c r="L23" s="345"/>
      <c r="M23" s="345"/>
      <c r="N23" s="345"/>
      <c r="P23" s="21" t="s">
        <v>79</v>
      </c>
      <c r="Q23" s="21">
        <v>1030</v>
      </c>
      <c r="R23" s="21">
        <v>1035</v>
      </c>
      <c r="S23" s="21">
        <v>1035</v>
      </c>
      <c r="T23" s="21">
        <v>1035</v>
      </c>
      <c r="U23" s="21">
        <v>1045</v>
      </c>
      <c r="V23" s="21">
        <v>1050</v>
      </c>
      <c r="W23" s="21">
        <v>1055</v>
      </c>
      <c r="X23" s="21">
        <v>1055</v>
      </c>
      <c r="Y23" s="21">
        <v>1060</v>
      </c>
      <c r="Z23" s="21">
        <v>1070</v>
      </c>
      <c r="AA23" s="21">
        <v>1.014354</v>
      </c>
    </row>
    <row r="24" spans="1:27" ht="30.75" customHeight="1" x14ac:dyDescent="0.25">
      <c r="A24" s="3" t="s">
        <v>56</v>
      </c>
      <c r="B24" s="16" t="s">
        <v>116</v>
      </c>
      <c r="C24" s="1" t="s">
        <v>57</v>
      </c>
      <c r="E24" s="26">
        <f t="shared" si="0"/>
        <v>2026</v>
      </c>
      <c r="F24" s="26"/>
      <c r="G24" s="26"/>
      <c r="H24" s="26"/>
      <c r="I24" s="3"/>
      <c r="J24" s="344"/>
      <c r="K24" s="345"/>
      <c r="L24" s="345"/>
      <c r="M24" s="345"/>
      <c r="N24" s="345"/>
      <c r="P24" s="21" t="s">
        <v>80</v>
      </c>
      <c r="Q24" s="21">
        <v>1040</v>
      </c>
      <c r="R24" s="21">
        <v>1045</v>
      </c>
      <c r="S24" s="21">
        <v>1045</v>
      </c>
      <c r="T24" s="21">
        <v>1045</v>
      </c>
      <c r="U24" s="21">
        <v>1055</v>
      </c>
      <c r="V24" s="21">
        <v>1060</v>
      </c>
      <c r="W24" s="21">
        <v>1065</v>
      </c>
      <c r="X24" s="21">
        <v>1065</v>
      </c>
      <c r="Y24" s="21">
        <v>1070</v>
      </c>
      <c r="Z24" s="21">
        <v>1080</v>
      </c>
      <c r="AA24" s="21">
        <v>1.0142180000000001</v>
      </c>
    </row>
    <row r="25" spans="1:27" x14ac:dyDescent="0.25">
      <c r="A25" s="12"/>
      <c r="B25" s="13"/>
      <c r="E25" s="26">
        <f t="shared" si="0"/>
        <v>2027</v>
      </c>
      <c r="F25" s="26"/>
      <c r="G25" s="26"/>
      <c r="H25" s="26"/>
      <c r="I25" s="3"/>
      <c r="J25" s="344"/>
      <c r="K25" s="345"/>
      <c r="L25" s="345"/>
      <c r="M25" s="345"/>
      <c r="N25" s="345"/>
      <c r="P25" s="21" t="s">
        <v>81</v>
      </c>
      <c r="Q25" s="21">
        <v>1050</v>
      </c>
      <c r="R25" s="21">
        <v>1055</v>
      </c>
      <c r="S25" s="21">
        <v>1055</v>
      </c>
      <c r="T25" s="21">
        <v>1055</v>
      </c>
      <c r="U25" s="21">
        <v>1065</v>
      </c>
      <c r="V25" s="21">
        <v>1070</v>
      </c>
      <c r="W25" s="21">
        <v>1075</v>
      </c>
      <c r="X25" s="21">
        <v>1075</v>
      </c>
      <c r="Y25" s="21">
        <v>1080</v>
      </c>
      <c r="Z25" s="21">
        <v>1095</v>
      </c>
      <c r="AA25" s="21">
        <v>1.0140849999999999</v>
      </c>
    </row>
    <row r="26" spans="1:27" x14ac:dyDescent="0.25">
      <c r="A26" s="372" t="s">
        <v>71</v>
      </c>
      <c r="B26" s="372"/>
      <c r="E26" s="26">
        <f t="shared" si="0"/>
        <v>2028</v>
      </c>
      <c r="F26" s="26"/>
      <c r="G26" s="26"/>
      <c r="H26" s="26"/>
      <c r="I26" s="3"/>
      <c r="P26" s="21" t="s">
        <v>82</v>
      </c>
      <c r="Q26" s="21">
        <v>1055</v>
      </c>
      <c r="R26" s="21">
        <v>1060</v>
      </c>
      <c r="S26" s="21">
        <v>1060</v>
      </c>
      <c r="T26" s="21">
        <v>1060</v>
      </c>
      <c r="U26" s="21">
        <v>1070</v>
      </c>
      <c r="V26" s="21">
        <v>1075</v>
      </c>
      <c r="W26" s="21">
        <v>1080</v>
      </c>
      <c r="X26" s="21">
        <v>1080</v>
      </c>
      <c r="Y26" s="21">
        <v>1085</v>
      </c>
      <c r="Z26" s="21">
        <v>1095</v>
      </c>
      <c r="AA26" s="21">
        <v>1.014019</v>
      </c>
    </row>
    <row r="27" spans="1:27" x14ac:dyDescent="0.25">
      <c r="A27" s="3" t="s">
        <v>28</v>
      </c>
      <c r="B27" s="3"/>
      <c r="E27" s="26">
        <f t="shared" si="0"/>
        <v>2029</v>
      </c>
      <c r="F27" s="26"/>
      <c r="G27" s="26"/>
      <c r="H27" s="26"/>
      <c r="I27" s="3"/>
      <c r="P27" s="21" t="s">
        <v>83</v>
      </c>
      <c r="Q27" s="21">
        <v>1060</v>
      </c>
      <c r="R27" s="21">
        <v>1065</v>
      </c>
      <c r="S27" s="21">
        <v>1065</v>
      </c>
      <c r="T27" s="21">
        <v>1065</v>
      </c>
      <c r="U27" s="21">
        <v>1075</v>
      </c>
      <c r="V27" s="21">
        <v>1080</v>
      </c>
      <c r="W27" s="21">
        <v>1085</v>
      </c>
      <c r="X27" s="21">
        <v>1085</v>
      </c>
      <c r="Y27" s="21">
        <v>1090</v>
      </c>
      <c r="Z27" s="21">
        <v>1110</v>
      </c>
      <c r="AA27" s="21">
        <v>1.0139530000000001</v>
      </c>
    </row>
    <row r="28" spans="1:27" x14ac:dyDescent="0.25">
      <c r="A28" s="3" t="s">
        <v>29</v>
      </c>
      <c r="B28" s="3"/>
      <c r="E28" s="26">
        <f t="shared" si="0"/>
        <v>2030</v>
      </c>
      <c r="F28" s="26"/>
      <c r="G28" s="26"/>
      <c r="H28" s="26"/>
      <c r="I28" s="3"/>
      <c r="P28" s="21" t="s">
        <v>84</v>
      </c>
      <c r="Q28" s="21">
        <v>1065</v>
      </c>
      <c r="R28" s="21">
        <v>1070</v>
      </c>
      <c r="S28" s="21">
        <v>1070</v>
      </c>
      <c r="T28" s="21">
        <v>1070</v>
      </c>
      <c r="U28" s="21">
        <v>1080</v>
      </c>
      <c r="V28" s="21">
        <v>1085</v>
      </c>
      <c r="W28" s="21">
        <v>1090</v>
      </c>
      <c r="X28" s="21">
        <v>1090</v>
      </c>
      <c r="Y28" s="21">
        <v>1100</v>
      </c>
      <c r="Z28" s="21">
        <v>1110</v>
      </c>
      <c r="AA28" s="21">
        <v>1.018519</v>
      </c>
    </row>
    <row r="29" spans="1:27" ht="39.75" customHeight="1" x14ac:dyDescent="0.25">
      <c r="A29" s="3" t="s">
        <v>30</v>
      </c>
      <c r="B29" s="17"/>
      <c r="C29" s="1" t="s">
        <v>43</v>
      </c>
      <c r="E29" s="26">
        <f t="shared" si="0"/>
        <v>2031</v>
      </c>
      <c r="F29" s="26"/>
      <c r="G29" s="26"/>
      <c r="H29" s="26"/>
      <c r="I29" s="3"/>
      <c r="P29" s="21" t="s">
        <v>85</v>
      </c>
      <c r="Q29" s="21">
        <v>1075</v>
      </c>
      <c r="R29" s="21">
        <v>1080</v>
      </c>
      <c r="S29" s="21">
        <v>1080</v>
      </c>
      <c r="T29" s="21">
        <v>1080</v>
      </c>
      <c r="U29" s="21">
        <v>1090</v>
      </c>
      <c r="V29" s="21">
        <v>1095</v>
      </c>
      <c r="W29" s="21">
        <v>1100</v>
      </c>
      <c r="X29" s="21">
        <v>1100</v>
      </c>
      <c r="Y29" s="21">
        <v>1105</v>
      </c>
      <c r="Z29" s="21">
        <v>1120</v>
      </c>
      <c r="AA29" s="21">
        <v>1.0137609999999999</v>
      </c>
    </row>
    <row r="30" spans="1:27" x14ac:dyDescent="0.25">
      <c r="A30" s="3" t="s">
        <v>44</v>
      </c>
      <c r="B30" s="3"/>
      <c r="E30" s="26">
        <f t="shared" si="0"/>
        <v>2032</v>
      </c>
      <c r="F30" s="26"/>
      <c r="G30" s="26"/>
      <c r="H30" s="26"/>
      <c r="I30" s="3"/>
      <c r="P30" s="21" t="s">
        <v>86</v>
      </c>
      <c r="Q30" s="21">
        <v>1080</v>
      </c>
      <c r="R30" s="21">
        <v>1085</v>
      </c>
      <c r="S30" s="21">
        <v>1085</v>
      </c>
      <c r="T30" s="21">
        <v>1085</v>
      </c>
      <c r="U30" s="21">
        <v>1095</v>
      </c>
      <c r="V30" s="21">
        <v>1100</v>
      </c>
      <c r="W30" s="21">
        <v>1105</v>
      </c>
      <c r="X30" s="21">
        <v>1105</v>
      </c>
      <c r="Y30" s="21">
        <v>1110</v>
      </c>
      <c r="Z30" s="21">
        <v>1120</v>
      </c>
      <c r="AA30" s="21">
        <v>1.0136989999999999</v>
      </c>
    </row>
    <row r="31" spans="1:27" x14ac:dyDescent="0.25">
      <c r="A31" s="3" t="s">
        <v>47</v>
      </c>
      <c r="B31" s="3"/>
      <c r="E31" s="26">
        <f t="shared" si="0"/>
        <v>2033</v>
      </c>
      <c r="F31" s="26"/>
      <c r="G31" s="26"/>
      <c r="H31" s="26"/>
      <c r="I31" s="3"/>
      <c r="P31" s="21" t="s">
        <v>87</v>
      </c>
      <c r="Q31" s="21">
        <v>1085</v>
      </c>
      <c r="R31" s="21">
        <v>1090</v>
      </c>
      <c r="S31" s="21">
        <v>1090</v>
      </c>
      <c r="T31" s="21">
        <v>1090</v>
      </c>
      <c r="U31" s="21">
        <v>1100</v>
      </c>
      <c r="V31" s="21">
        <v>1105</v>
      </c>
      <c r="W31" s="21">
        <v>1110</v>
      </c>
      <c r="X31" s="21">
        <v>1110</v>
      </c>
      <c r="Y31" s="21">
        <v>1115</v>
      </c>
      <c r="Z31" s="21">
        <v>1125</v>
      </c>
      <c r="AA31" s="21">
        <v>1.013636</v>
      </c>
    </row>
    <row r="32" spans="1:27" x14ac:dyDescent="0.25">
      <c r="A32" s="3" t="s">
        <v>45</v>
      </c>
      <c r="B32" s="3"/>
      <c r="P32" s="21" t="s">
        <v>88</v>
      </c>
      <c r="Q32" s="21">
        <v>1090</v>
      </c>
      <c r="R32" s="21">
        <v>1095</v>
      </c>
      <c r="S32" s="21">
        <v>1095</v>
      </c>
      <c r="T32" s="21">
        <v>1095</v>
      </c>
      <c r="U32" s="21">
        <v>1105</v>
      </c>
      <c r="V32" s="21">
        <v>1110</v>
      </c>
      <c r="W32" s="21">
        <v>1115</v>
      </c>
      <c r="X32" s="21">
        <v>1115</v>
      </c>
      <c r="Y32" s="21">
        <v>1120</v>
      </c>
      <c r="Z32" s="21">
        <v>1130</v>
      </c>
      <c r="AA32" s="21">
        <v>1.0135749999999999</v>
      </c>
    </row>
    <row r="33" spans="1:2" x14ac:dyDescent="0.25">
      <c r="A33" s="3" t="s">
        <v>46</v>
      </c>
      <c r="B33" s="3"/>
    </row>
    <row r="34" spans="1:2" x14ac:dyDescent="0.25">
      <c r="A34" s="84"/>
    </row>
  </sheetData>
  <mergeCells count="9">
    <mergeCell ref="J19:N21"/>
    <mergeCell ref="J23:N25"/>
    <mergeCell ref="A26:B26"/>
    <mergeCell ref="A6:B6"/>
    <mergeCell ref="E9:I9"/>
    <mergeCell ref="E10:H10"/>
    <mergeCell ref="J11:N12"/>
    <mergeCell ref="J13:N17"/>
    <mergeCell ref="B16:B17"/>
  </mergeCells>
  <pageMargins left="0.7" right="0.7" top="0.75" bottom="0.75" header="0.3" footer="0.3"/>
  <pageSetup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AA33"/>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140625" style="121" customWidth="1"/>
  </cols>
  <sheetData>
    <row r="1" spans="1:27" ht="36.75" customHeight="1" x14ac:dyDescent="0.3">
      <c r="A1" s="112" t="s">
        <v>109</v>
      </c>
      <c r="B1" s="10"/>
    </row>
    <row r="3" spans="1:27" ht="15" customHeight="1" x14ac:dyDescent="0.25">
      <c r="A3" s="2" t="s">
        <v>8</v>
      </c>
      <c r="B3" s="2"/>
    </row>
    <row r="4" spans="1:27" ht="15" customHeight="1" x14ac:dyDescent="0.25">
      <c r="A4" s="9" t="s">
        <v>9</v>
      </c>
      <c r="B4" s="9"/>
    </row>
    <row r="5" spans="1:27" x14ac:dyDescent="0.25">
      <c r="C5" s="1" t="s">
        <v>31</v>
      </c>
    </row>
    <row r="6" spans="1:27" x14ac:dyDescent="0.25">
      <c r="A6" s="373" t="s">
        <v>10</v>
      </c>
      <c r="B6" s="374"/>
    </row>
    <row r="7" spans="1:27" ht="21" customHeight="1" x14ac:dyDescent="0.25">
      <c r="A7" s="3" t="s">
        <v>0</v>
      </c>
      <c r="B7" s="3" t="s">
        <v>109</v>
      </c>
    </row>
    <row r="8" spans="1:27" ht="123" customHeight="1" x14ac:dyDescent="0.25">
      <c r="A8" s="3" t="s">
        <v>2</v>
      </c>
      <c r="B8" s="35" t="s">
        <v>122</v>
      </c>
      <c r="E8" s="409" t="s">
        <v>100</v>
      </c>
      <c r="F8" s="409"/>
      <c r="G8" s="409"/>
      <c r="H8" s="409"/>
      <c r="I8" s="409"/>
    </row>
    <row r="9" spans="1:27" ht="15.75" thickBot="1" x14ac:dyDescent="0.3">
      <c r="A9" s="3" t="s">
        <v>1</v>
      </c>
      <c r="B9" s="3" t="s">
        <v>111</v>
      </c>
      <c r="C9" s="1" t="s">
        <v>48</v>
      </c>
      <c r="E9" s="353" t="s">
        <v>53</v>
      </c>
      <c r="F9" s="354"/>
      <c r="G9" s="354"/>
      <c r="H9" s="355"/>
      <c r="I9" s="3" t="str">
        <f>B14</f>
        <v>28 MW</v>
      </c>
      <c r="J9" t="s">
        <v>74</v>
      </c>
      <c r="P9" s="21" t="s">
        <v>76</v>
      </c>
      <c r="Q9" s="21"/>
      <c r="R9" s="21"/>
      <c r="S9" s="21"/>
      <c r="T9" s="21"/>
      <c r="U9" s="21"/>
      <c r="V9" s="21"/>
      <c r="W9" s="21"/>
      <c r="X9" s="21"/>
      <c r="Y9" s="21"/>
      <c r="Z9" s="21"/>
      <c r="AA9" s="21"/>
    </row>
    <row r="10" spans="1:27" ht="48" customHeight="1" thickBot="1" x14ac:dyDescent="0.3">
      <c r="A10" s="3" t="s">
        <v>4</v>
      </c>
      <c r="B10" s="3" t="s">
        <v>102</v>
      </c>
      <c r="C10" s="1" t="s">
        <v>3</v>
      </c>
      <c r="E10" s="30" t="s">
        <v>75</v>
      </c>
      <c r="F10" s="31" t="s">
        <v>94</v>
      </c>
      <c r="G10" s="31" t="s">
        <v>93</v>
      </c>
      <c r="H10" s="31" t="s">
        <v>90</v>
      </c>
      <c r="I10" s="31" t="s">
        <v>95</v>
      </c>
      <c r="J10" s="344" t="s">
        <v>92</v>
      </c>
      <c r="K10" s="345"/>
      <c r="L10" s="345"/>
      <c r="M10" s="345"/>
      <c r="N10" s="345"/>
      <c r="P10" s="21" t="s">
        <v>77</v>
      </c>
      <c r="Q10" s="22">
        <v>0.9</v>
      </c>
      <c r="R10" s="23">
        <v>0.8</v>
      </c>
      <c r="S10" s="23">
        <v>0.7</v>
      </c>
      <c r="T10" s="24">
        <v>0.6</v>
      </c>
      <c r="U10" s="22">
        <v>0.5</v>
      </c>
      <c r="V10" s="23">
        <v>0.4</v>
      </c>
      <c r="W10" s="23">
        <v>0.3</v>
      </c>
      <c r="X10" s="23">
        <v>0.2</v>
      </c>
      <c r="Y10" s="23">
        <v>0.1</v>
      </c>
      <c r="Z10" s="23">
        <v>0.05</v>
      </c>
      <c r="AA10" s="25">
        <v>18537</v>
      </c>
    </row>
    <row r="11" spans="1:27" ht="19.5" customHeight="1" x14ac:dyDescent="0.25">
      <c r="A11" s="7" t="s">
        <v>49</v>
      </c>
      <c r="B11" s="7" t="s">
        <v>123</v>
      </c>
      <c r="E11" s="26">
        <v>2012</v>
      </c>
      <c r="F11" s="26"/>
      <c r="G11" s="26"/>
      <c r="H11" s="26"/>
      <c r="I11" s="3"/>
      <c r="J11" s="344"/>
      <c r="K11" s="345"/>
      <c r="L11" s="345"/>
      <c r="M11" s="345"/>
      <c r="N11" s="345"/>
      <c r="P11" s="21">
        <v>2011</v>
      </c>
      <c r="Q11" s="21">
        <v>1030</v>
      </c>
      <c r="R11" s="21">
        <v>1035</v>
      </c>
      <c r="S11" s="21">
        <v>1040</v>
      </c>
      <c r="T11" s="21">
        <v>1050</v>
      </c>
      <c r="U11" s="21">
        <v>1070</v>
      </c>
      <c r="V11" s="21">
        <v>1075</v>
      </c>
      <c r="W11" s="21">
        <v>1090</v>
      </c>
      <c r="X11" s="21">
        <v>1095</v>
      </c>
      <c r="Y11" s="21">
        <v>1110</v>
      </c>
      <c r="Z11" s="21">
        <v>1110</v>
      </c>
      <c r="AA11" s="21">
        <v>1.0373829999999999</v>
      </c>
    </row>
    <row r="12" spans="1:27" ht="15" customHeight="1" x14ac:dyDescent="0.25">
      <c r="A12" s="7" t="s">
        <v>50</v>
      </c>
      <c r="B12" s="7" t="s">
        <v>124</v>
      </c>
      <c r="E12" s="26">
        <v>2013</v>
      </c>
      <c r="F12" s="26"/>
      <c r="G12" s="26"/>
      <c r="H12" s="26"/>
      <c r="I12" s="3"/>
      <c r="J12" s="344" t="s">
        <v>91</v>
      </c>
      <c r="K12" s="345"/>
      <c r="L12" s="345"/>
      <c r="M12" s="345"/>
      <c r="N12" s="345"/>
      <c r="P12" s="21">
        <v>2012</v>
      </c>
      <c r="Q12" s="21">
        <v>1050</v>
      </c>
      <c r="R12" s="21">
        <v>1055</v>
      </c>
      <c r="S12" s="21">
        <v>1060</v>
      </c>
      <c r="T12" s="21">
        <v>1070</v>
      </c>
      <c r="U12" s="21">
        <v>1090</v>
      </c>
      <c r="V12" s="21">
        <v>1095</v>
      </c>
      <c r="W12" s="21">
        <v>1115</v>
      </c>
      <c r="X12" s="21">
        <v>1120</v>
      </c>
      <c r="Y12" s="21">
        <v>1125</v>
      </c>
      <c r="Z12" s="21">
        <v>1135</v>
      </c>
      <c r="AA12" s="21">
        <v>1.0321100000000001</v>
      </c>
    </row>
    <row r="13" spans="1:27" x14ac:dyDescent="0.25">
      <c r="A13" s="7" t="s">
        <v>51</v>
      </c>
      <c r="B13" s="7"/>
      <c r="C13" s="1" t="s">
        <v>52</v>
      </c>
      <c r="E13" s="26">
        <v>2014</v>
      </c>
      <c r="F13" s="26"/>
      <c r="G13" s="26"/>
      <c r="H13" s="26"/>
      <c r="I13" s="3"/>
      <c r="J13" s="344"/>
      <c r="K13" s="345"/>
      <c r="L13" s="345"/>
      <c r="M13" s="345"/>
      <c r="N13" s="345"/>
      <c r="P13" s="21">
        <v>2013</v>
      </c>
      <c r="Q13" s="21">
        <v>1065</v>
      </c>
      <c r="R13" s="21">
        <v>1070</v>
      </c>
      <c r="S13" s="21">
        <v>1075</v>
      </c>
      <c r="T13" s="21">
        <v>1085</v>
      </c>
      <c r="U13" s="21">
        <v>1105</v>
      </c>
      <c r="V13" s="21">
        <v>1110</v>
      </c>
      <c r="W13" s="21">
        <v>1130</v>
      </c>
      <c r="X13" s="21">
        <v>1135</v>
      </c>
      <c r="Y13" s="21">
        <v>1150</v>
      </c>
      <c r="Z13" s="21">
        <v>1150</v>
      </c>
      <c r="AA13" s="21">
        <v>1.040724</v>
      </c>
    </row>
    <row r="14" spans="1:27" ht="21.75" customHeight="1" x14ac:dyDescent="0.25">
      <c r="A14" s="7" t="s">
        <v>53</v>
      </c>
      <c r="B14" s="18" t="s">
        <v>125</v>
      </c>
      <c r="E14" s="26">
        <v>2015</v>
      </c>
      <c r="F14" s="26"/>
      <c r="G14" s="26"/>
      <c r="H14" s="26"/>
      <c r="I14" s="3"/>
      <c r="J14" s="344"/>
      <c r="K14" s="345"/>
      <c r="L14" s="345"/>
      <c r="M14" s="345"/>
      <c r="N14" s="345"/>
      <c r="P14" s="21">
        <v>2014</v>
      </c>
      <c r="Q14" s="21">
        <v>1080</v>
      </c>
      <c r="R14" s="21">
        <v>1085</v>
      </c>
      <c r="S14" s="21">
        <v>1090</v>
      </c>
      <c r="T14" s="21">
        <v>1100</v>
      </c>
      <c r="U14" s="21">
        <v>1120</v>
      </c>
      <c r="V14" s="21">
        <v>1125</v>
      </c>
      <c r="W14" s="21">
        <v>1145</v>
      </c>
      <c r="X14" s="21">
        <v>1150</v>
      </c>
      <c r="Y14" s="21">
        <v>1165</v>
      </c>
      <c r="Z14" s="21">
        <v>1170</v>
      </c>
      <c r="AA14" s="21">
        <v>1.040179</v>
      </c>
    </row>
    <row r="15" spans="1:27" x14ac:dyDescent="0.25">
      <c r="A15" s="11" t="s">
        <v>41</v>
      </c>
      <c r="B15" s="449" t="s">
        <v>97</v>
      </c>
      <c r="E15" s="26">
        <v>2016</v>
      </c>
      <c r="F15" s="26"/>
      <c r="G15" s="26"/>
      <c r="H15" s="26"/>
      <c r="I15" s="3"/>
      <c r="J15" s="344"/>
      <c r="K15" s="345"/>
      <c r="L15" s="345"/>
      <c r="M15" s="345"/>
      <c r="N15" s="345"/>
      <c r="P15" s="21">
        <v>2015</v>
      </c>
      <c r="Q15" s="21">
        <v>1095</v>
      </c>
      <c r="R15" s="21">
        <v>1100</v>
      </c>
      <c r="S15" s="21">
        <v>1105</v>
      </c>
      <c r="T15" s="21">
        <v>1115</v>
      </c>
      <c r="U15" s="21">
        <v>1135</v>
      </c>
      <c r="V15" s="21">
        <v>1140</v>
      </c>
      <c r="W15" s="21">
        <v>1160</v>
      </c>
      <c r="X15" s="21">
        <v>1165</v>
      </c>
      <c r="Y15" s="21">
        <v>1170</v>
      </c>
      <c r="Z15" s="21">
        <v>1180</v>
      </c>
      <c r="AA15" s="21">
        <v>1.030837</v>
      </c>
    </row>
    <row r="16" spans="1:27" ht="60.75" customHeight="1" x14ac:dyDescent="0.25">
      <c r="A16" s="11" t="s">
        <v>7</v>
      </c>
      <c r="B16" s="450"/>
      <c r="C16" s="1" t="s">
        <v>21</v>
      </c>
      <c r="E16" s="26">
        <v>2017</v>
      </c>
      <c r="F16" s="26"/>
      <c r="G16" s="26"/>
      <c r="H16" s="26"/>
      <c r="I16" s="3"/>
      <c r="J16" s="356"/>
      <c r="K16" s="357"/>
      <c r="L16" s="357"/>
      <c r="M16" s="357"/>
      <c r="N16" s="357"/>
      <c r="P16" s="21">
        <v>2016</v>
      </c>
      <c r="Q16" s="21">
        <v>1105</v>
      </c>
      <c r="R16" s="21">
        <v>1110</v>
      </c>
      <c r="S16" s="21">
        <v>1115</v>
      </c>
      <c r="T16" s="21">
        <v>1125</v>
      </c>
      <c r="U16" s="21">
        <v>1145</v>
      </c>
      <c r="V16" s="21">
        <v>1150</v>
      </c>
      <c r="W16" s="21">
        <v>1170</v>
      </c>
      <c r="X16" s="21">
        <v>1175</v>
      </c>
      <c r="Y16" s="21">
        <v>1190</v>
      </c>
      <c r="Z16" s="21">
        <v>1195</v>
      </c>
      <c r="AA16" s="21">
        <v>1.039301</v>
      </c>
    </row>
    <row r="17" spans="1:27" x14ac:dyDescent="0.25">
      <c r="A17" s="14" t="s">
        <v>72</v>
      </c>
      <c r="B17" s="14"/>
      <c r="C17" s="1" t="s">
        <v>73</v>
      </c>
      <c r="E17" s="26">
        <v>2018</v>
      </c>
      <c r="F17" s="26"/>
      <c r="G17" s="26"/>
      <c r="H17" s="26"/>
      <c r="I17" s="3"/>
      <c r="J17" s="27" t="s">
        <v>89</v>
      </c>
      <c r="K17" s="28"/>
      <c r="L17" s="28"/>
      <c r="M17" s="28"/>
      <c r="N17" s="29"/>
      <c r="P17" s="21">
        <v>2017</v>
      </c>
      <c r="Q17" s="21">
        <v>1115</v>
      </c>
      <c r="R17" s="21">
        <v>1120</v>
      </c>
      <c r="S17" s="21">
        <v>1125</v>
      </c>
      <c r="T17" s="21">
        <v>1135</v>
      </c>
      <c r="U17" s="21">
        <v>1155</v>
      </c>
      <c r="V17" s="21">
        <v>1160</v>
      </c>
      <c r="W17" s="21">
        <v>1180</v>
      </c>
      <c r="X17" s="21">
        <v>1185</v>
      </c>
      <c r="Y17" s="21">
        <v>1195</v>
      </c>
      <c r="Z17" s="21">
        <v>1205</v>
      </c>
      <c r="AA17" s="21">
        <v>1.034632</v>
      </c>
    </row>
    <row r="18" spans="1:27" x14ac:dyDescent="0.25">
      <c r="A18" s="14" t="s">
        <v>68</v>
      </c>
      <c r="B18" s="15"/>
      <c r="C18" s="1" t="s">
        <v>69</v>
      </c>
      <c r="E18" s="26">
        <v>2019</v>
      </c>
      <c r="F18" s="26"/>
      <c r="G18" s="26"/>
      <c r="H18" s="26"/>
      <c r="I18" s="3"/>
      <c r="J18" s="335"/>
      <c r="K18" s="336"/>
      <c r="L18" s="336"/>
      <c r="M18" s="336"/>
      <c r="N18" s="337"/>
      <c r="P18" s="21">
        <v>2018</v>
      </c>
      <c r="Q18" s="21">
        <v>1125</v>
      </c>
      <c r="R18" s="21">
        <v>1130</v>
      </c>
      <c r="S18" s="21">
        <v>1140</v>
      </c>
      <c r="T18" s="21">
        <v>1150</v>
      </c>
      <c r="U18" s="21">
        <v>1170</v>
      </c>
      <c r="V18" s="21">
        <v>1175</v>
      </c>
      <c r="W18" s="21">
        <v>1195</v>
      </c>
      <c r="X18" s="21">
        <v>1200</v>
      </c>
      <c r="Y18" s="21">
        <v>1215</v>
      </c>
      <c r="Z18" s="21">
        <v>1215</v>
      </c>
      <c r="AA18" s="21">
        <v>1.038462</v>
      </c>
    </row>
    <row r="19" spans="1:27" ht="21" customHeight="1" x14ac:dyDescent="0.25">
      <c r="A19" s="14" t="s">
        <v>67</v>
      </c>
      <c r="B19" s="14"/>
      <c r="C19" s="1" t="s">
        <v>70</v>
      </c>
      <c r="E19" s="26">
        <v>2020</v>
      </c>
      <c r="F19" s="26"/>
      <c r="G19" s="26"/>
      <c r="H19" s="26"/>
      <c r="I19" s="3"/>
      <c r="J19" s="338"/>
      <c r="K19" s="339"/>
      <c r="L19" s="339"/>
      <c r="M19" s="339"/>
      <c r="N19" s="340"/>
      <c r="P19" s="21">
        <v>2019</v>
      </c>
      <c r="Q19" s="21">
        <v>1135</v>
      </c>
      <c r="R19" s="21">
        <v>1140</v>
      </c>
      <c r="S19" s="21">
        <v>1150</v>
      </c>
      <c r="T19" s="21">
        <v>1160</v>
      </c>
      <c r="U19" s="21">
        <v>1180</v>
      </c>
      <c r="V19" s="21">
        <v>1185</v>
      </c>
      <c r="W19" s="21">
        <v>1205</v>
      </c>
      <c r="X19" s="21">
        <v>1210</v>
      </c>
      <c r="Y19" s="21">
        <v>1225</v>
      </c>
      <c r="Z19" s="21">
        <v>1230</v>
      </c>
      <c r="AA19" s="21">
        <v>1.0381359999999999</v>
      </c>
    </row>
    <row r="20" spans="1:27" ht="48.75" customHeight="1" x14ac:dyDescent="0.25">
      <c r="A20" s="3" t="s">
        <v>98</v>
      </c>
      <c r="B20" s="19" t="s">
        <v>99</v>
      </c>
      <c r="C20" s="1" t="s">
        <v>58</v>
      </c>
      <c r="E20" s="26">
        <v>2021</v>
      </c>
      <c r="F20" s="26"/>
      <c r="G20" s="26"/>
      <c r="H20" s="26"/>
      <c r="I20" s="3"/>
      <c r="J20" s="341"/>
      <c r="K20" s="342"/>
      <c r="L20" s="342"/>
      <c r="M20" s="342"/>
      <c r="N20" s="343"/>
      <c r="P20" s="21">
        <v>2020</v>
      </c>
      <c r="Q20" s="21">
        <v>1145</v>
      </c>
      <c r="R20" s="21">
        <v>1150</v>
      </c>
      <c r="S20" s="21">
        <v>1155</v>
      </c>
      <c r="T20" s="21">
        <v>1170</v>
      </c>
      <c r="U20" s="21">
        <v>1190</v>
      </c>
      <c r="V20" s="21">
        <v>1195</v>
      </c>
      <c r="W20" s="21">
        <v>1215</v>
      </c>
      <c r="X20" s="21">
        <v>1225</v>
      </c>
      <c r="Y20" s="21">
        <v>1235</v>
      </c>
      <c r="Z20" s="21">
        <v>1240</v>
      </c>
      <c r="AA20" s="21">
        <v>1.0378149999999999</v>
      </c>
    </row>
    <row r="21" spans="1:27" x14ac:dyDescent="0.25">
      <c r="A21" s="3" t="s">
        <v>5</v>
      </c>
      <c r="B21" s="16">
        <v>500000</v>
      </c>
      <c r="C21" s="1" t="s">
        <v>6</v>
      </c>
      <c r="E21" s="26">
        <v>2022</v>
      </c>
      <c r="F21" s="26"/>
      <c r="G21" s="26"/>
      <c r="H21" s="26"/>
      <c r="I21" s="3"/>
      <c r="P21" s="21" t="s">
        <v>78</v>
      </c>
      <c r="Q21" s="21"/>
      <c r="R21" s="21"/>
      <c r="S21" s="21"/>
      <c r="T21" s="21"/>
      <c r="U21" s="21"/>
      <c r="V21" s="21"/>
      <c r="W21" s="21"/>
      <c r="X21" s="21"/>
      <c r="Y21" s="21"/>
      <c r="Z21" s="21"/>
      <c r="AA21" s="21"/>
    </row>
    <row r="22" spans="1:27" ht="34.5" customHeight="1" x14ac:dyDescent="0.25">
      <c r="A22" s="3" t="s">
        <v>55</v>
      </c>
      <c r="B22" s="17"/>
      <c r="C22" s="1" t="s">
        <v>54</v>
      </c>
      <c r="E22" s="26">
        <v>2023</v>
      </c>
      <c r="F22" s="26"/>
      <c r="G22" s="26"/>
      <c r="H22" s="26"/>
      <c r="I22" s="3"/>
      <c r="J22" s="344" t="s">
        <v>96</v>
      </c>
      <c r="K22" s="345"/>
      <c r="L22" s="345"/>
      <c r="M22" s="345"/>
      <c r="N22" s="345"/>
      <c r="P22" s="21" t="s">
        <v>79</v>
      </c>
      <c r="Q22" s="21">
        <v>1030</v>
      </c>
      <c r="R22" s="21">
        <v>1035</v>
      </c>
      <c r="S22" s="21">
        <v>1035</v>
      </c>
      <c r="T22" s="21">
        <v>1035</v>
      </c>
      <c r="U22" s="21">
        <v>1045</v>
      </c>
      <c r="V22" s="21">
        <v>1050</v>
      </c>
      <c r="W22" s="21">
        <v>1055</v>
      </c>
      <c r="X22" s="21">
        <v>1055</v>
      </c>
      <c r="Y22" s="21">
        <v>1060</v>
      </c>
      <c r="Z22" s="21">
        <v>1070</v>
      </c>
      <c r="AA22" s="21">
        <v>1.014354</v>
      </c>
    </row>
    <row r="23" spans="1:27" ht="30.75" customHeight="1" x14ac:dyDescent="0.25">
      <c r="A23" s="3" t="s">
        <v>56</v>
      </c>
      <c r="B23" s="16" t="s">
        <v>116</v>
      </c>
      <c r="C23" s="1" t="s">
        <v>57</v>
      </c>
      <c r="E23" s="26">
        <v>2024</v>
      </c>
      <c r="F23" s="26"/>
      <c r="G23" s="26"/>
      <c r="H23" s="26"/>
      <c r="I23" s="3"/>
      <c r="J23" s="344"/>
      <c r="K23" s="345"/>
      <c r="L23" s="345"/>
      <c r="M23" s="345"/>
      <c r="N23" s="345"/>
      <c r="P23" s="21" t="s">
        <v>80</v>
      </c>
      <c r="Q23" s="21">
        <v>1040</v>
      </c>
      <c r="R23" s="21">
        <v>1045</v>
      </c>
      <c r="S23" s="21">
        <v>1045</v>
      </c>
      <c r="T23" s="21">
        <v>1045</v>
      </c>
      <c r="U23" s="21">
        <v>1055</v>
      </c>
      <c r="V23" s="21">
        <v>1060</v>
      </c>
      <c r="W23" s="21">
        <v>1065</v>
      </c>
      <c r="X23" s="21">
        <v>1065</v>
      </c>
      <c r="Y23" s="21">
        <v>1070</v>
      </c>
      <c r="Z23" s="21">
        <v>1080</v>
      </c>
      <c r="AA23" s="21">
        <v>1.0142180000000001</v>
      </c>
    </row>
    <row r="24" spans="1:27" x14ac:dyDescent="0.25">
      <c r="A24" s="12"/>
      <c r="B24" s="13"/>
      <c r="E24" s="26">
        <v>2025</v>
      </c>
      <c r="F24" s="26"/>
      <c r="G24" s="26"/>
      <c r="H24" s="26"/>
      <c r="I24" s="3"/>
      <c r="J24" s="344"/>
      <c r="K24" s="345"/>
      <c r="L24" s="345"/>
      <c r="M24" s="345"/>
      <c r="N24" s="345"/>
      <c r="P24" s="21" t="s">
        <v>81</v>
      </c>
      <c r="Q24" s="21">
        <v>1050</v>
      </c>
      <c r="R24" s="21">
        <v>1055</v>
      </c>
      <c r="S24" s="21">
        <v>1055</v>
      </c>
      <c r="T24" s="21">
        <v>1055</v>
      </c>
      <c r="U24" s="21">
        <v>1065</v>
      </c>
      <c r="V24" s="21">
        <v>1070</v>
      </c>
      <c r="W24" s="21">
        <v>1075</v>
      </c>
      <c r="X24" s="21">
        <v>1075</v>
      </c>
      <c r="Y24" s="21">
        <v>1080</v>
      </c>
      <c r="Z24" s="21">
        <v>1095</v>
      </c>
      <c r="AA24" s="21">
        <v>1.0140849999999999</v>
      </c>
    </row>
    <row r="25" spans="1:27" x14ac:dyDescent="0.25">
      <c r="A25" s="372" t="s">
        <v>71</v>
      </c>
      <c r="B25" s="372"/>
      <c r="E25" s="26">
        <v>2026</v>
      </c>
      <c r="F25" s="26"/>
      <c r="G25" s="26"/>
      <c r="H25" s="26"/>
      <c r="I25" s="3"/>
      <c r="P25" s="21" t="s">
        <v>82</v>
      </c>
      <c r="Q25" s="21">
        <v>1055</v>
      </c>
      <c r="R25" s="21">
        <v>1060</v>
      </c>
      <c r="S25" s="21">
        <v>1060</v>
      </c>
      <c r="T25" s="21">
        <v>1060</v>
      </c>
      <c r="U25" s="21">
        <v>1070</v>
      </c>
      <c r="V25" s="21">
        <v>1075</v>
      </c>
      <c r="W25" s="21">
        <v>1080</v>
      </c>
      <c r="X25" s="21">
        <v>1080</v>
      </c>
      <c r="Y25" s="21">
        <v>1085</v>
      </c>
      <c r="Z25" s="21">
        <v>1095</v>
      </c>
      <c r="AA25" s="21">
        <v>1.014019</v>
      </c>
    </row>
    <row r="26" spans="1:27" x14ac:dyDescent="0.25">
      <c r="A26" s="3" t="s">
        <v>28</v>
      </c>
      <c r="B26" s="3"/>
      <c r="E26" s="26">
        <v>2027</v>
      </c>
      <c r="F26" s="26"/>
      <c r="G26" s="26"/>
      <c r="H26" s="26"/>
      <c r="I26" s="3"/>
      <c r="P26" s="21" t="s">
        <v>83</v>
      </c>
      <c r="Q26" s="21">
        <v>1060</v>
      </c>
      <c r="R26" s="21">
        <v>1065</v>
      </c>
      <c r="S26" s="21">
        <v>1065</v>
      </c>
      <c r="T26" s="21">
        <v>1065</v>
      </c>
      <c r="U26" s="21">
        <v>1075</v>
      </c>
      <c r="V26" s="21">
        <v>1080</v>
      </c>
      <c r="W26" s="21">
        <v>1085</v>
      </c>
      <c r="X26" s="21">
        <v>1085</v>
      </c>
      <c r="Y26" s="21">
        <v>1090</v>
      </c>
      <c r="Z26" s="21">
        <v>1110</v>
      </c>
      <c r="AA26" s="21">
        <v>1.0139530000000001</v>
      </c>
    </row>
    <row r="27" spans="1:27" x14ac:dyDescent="0.25">
      <c r="A27" s="3" t="s">
        <v>29</v>
      </c>
      <c r="B27" s="3"/>
      <c r="E27" s="26">
        <v>2028</v>
      </c>
      <c r="F27" s="26"/>
      <c r="G27" s="26"/>
      <c r="H27" s="26"/>
      <c r="I27" s="3"/>
      <c r="P27" s="21" t="s">
        <v>84</v>
      </c>
      <c r="Q27" s="21">
        <v>1065</v>
      </c>
      <c r="R27" s="21">
        <v>1070</v>
      </c>
      <c r="S27" s="21">
        <v>1070</v>
      </c>
      <c r="T27" s="21">
        <v>1070</v>
      </c>
      <c r="U27" s="21">
        <v>1080</v>
      </c>
      <c r="V27" s="21">
        <v>1085</v>
      </c>
      <c r="W27" s="21">
        <v>1090</v>
      </c>
      <c r="X27" s="21">
        <v>1090</v>
      </c>
      <c r="Y27" s="21">
        <v>1100</v>
      </c>
      <c r="Z27" s="21">
        <v>1110</v>
      </c>
      <c r="AA27" s="21">
        <v>1.018519</v>
      </c>
    </row>
    <row r="28" spans="1:27" ht="39.75" customHeight="1" x14ac:dyDescent="0.25">
      <c r="A28" s="3" t="s">
        <v>30</v>
      </c>
      <c r="B28" s="17"/>
      <c r="C28" s="1" t="s">
        <v>43</v>
      </c>
      <c r="E28" s="26">
        <v>2029</v>
      </c>
      <c r="F28" s="26"/>
      <c r="G28" s="26"/>
      <c r="H28" s="26"/>
      <c r="I28" s="3"/>
      <c r="P28" s="21" t="s">
        <v>85</v>
      </c>
      <c r="Q28" s="21">
        <v>1075</v>
      </c>
      <c r="R28" s="21">
        <v>1080</v>
      </c>
      <c r="S28" s="21">
        <v>1080</v>
      </c>
      <c r="T28" s="21">
        <v>1080</v>
      </c>
      <c r="U28" s="21">
        <v>1090</v>
      </c>
      <c r="V28" s="21">
        <v>1095</v>
      </c>
      <c r="W28" s="21">
        <v>1100</v>
      </c>
      <c r="X28" s="21">
        <v>1100</v>
      </c>
      <c r="Y28" s="21">
        <v>1105</v>
      </c>
      <c r="Z28" s="21">
        <v>1120</v>
      </c>
      <c r="AA28" s="21">
        <v>1.0137609999999999</v>
      </c>
    </row>
    <row r="29" spans="1:27" x14ac:dyDescent="0.25">
      <c r="A29" s="3" t="s">
        <v>44</v>
      </c>
      <c r="B29" s="3"/>
      <c r="E29" s="26">
        <v>2030</v>
      </c>
      <c r="F29" s="26"/>
      <c r="G29" s="26"/>
      <c r="H29" s="26"/>
      <c r="I29" s="3"/>
      <c r="P29" s="21" t="s">
        <v>86</v>
      </c>
      <c r="Q29" s="21">
        <v>1080</v>
      </c>
      <c r="R29" s="21">
        <v>1085</v>
      </c>
      <c r="S29" s="21">
        <v>1085</v>
      </c>
      <c r="T29" s="21">
        <v>1085</v>
      </c>
      <c r="U29" s="21">
        <v>1095</v>
      </c>
      <c r="V29" s="21">
        <v>1100</v>
      </c>
      <c r="W29" s="21">
        <v>1105</v>
      </c>
      <c r="X29" s="21">
        <v>1105</v>
      </c>
      <c r="Y29" s="21">
        <v>1110</v>
      </c>
      <c r="Z29" s="21">
        <v>1120</v>
      </c>
      <c r="AA29" s="21">
        <v>1.0136989999999999</v>
      </c>
    </row>
    <row r="30" spans="1:27" x14ac:dyDescent="0.25">
      <c r="A30" s="3" t="s">
        <v>47</v>
      </c>
      <c r="B30" s="3"/>
      <c r="E30" s="26">
        <v>2031</v>
      </c>
      <c r="F30" s="26"/>
      <c r="G30" s="26"/>
      <c r="H30" s="26"/>
      <c r="I30" s="3"/>
      <c r="P30" s="21" t="s">
        <v>87</v>
      </c>
      <c r="Q30" s="21">
        <v>1085</v>
      </c>
      <c r="R30" s="21">
        <v>1090</v>
      </c>
      <c r="S30" s="21">
        <v>1090</v>
      </c>
      <c r="T30" s="21">
        <v>1090</v>
      </c>
      <c r="U30" s="21">
        <v>1100</v>
      </c>
      <c r="V30" s="21">
        <v>1105</v>
      </c>
      <c r="W30" s="21">
        <v>1110</v>
      </c>
      <c r="X30" s="21">
        <v>1110</v>
      </c>
      <c r="Y30" s="21">
        <v>1115</v>
      </c>
      <c r="Z30" s="21">
        <v>1125</v>
      </c>
      <c r="AA30" s="21">
        <v>1.013636</v>
      </c>
    </row>
    <row r="31" spans="1:27" x14ac:dyDescent="0.25">
      <c r="A31" s="3" t="s">
        <v>45</v>
      </c>
      <c r="B31" s="3"/>
      <c r="P31" s="21" t="s">
        <v>88</v>
      </c>
      <c r="Q31" s="21">
        <v>1090</v>
      </c>
      <c r="R31" s="21">
        <v>1095</v>
      </c>
      <c r="S31" s="21">
        <v>1095</v>
      </c>
      <c r="T31" s="21">
        <v>1095</v>
      </c>
      <c r="U31" s="21">
        <v>1105</v>
      </c>
      <c r="V31" s="21">
        <v>1110</v>
      </c>
      <c r="W31" s="21">
        <v>1115</v>
      </c>
      <c r="X31" s="21">
        <v>1115</v>
      </c>
      <c r="Y31" s="21">
        <v>1120</v>
      </c>
      <c r="Z31" s="21">
        <v>1130</v>
      </c>
      <c r="AA31" s="21">
        <v>1.0135749999999999</v>
      </c>
    </row>
    <row r="32" spans="1:27" x14ac:dyDescent="0.25">
      <c r="A32" s="3" t="s">
        <v>46</v>
      </c>
      <c r="B32" s="3"/>
    </row>
    <row r="33" spans="1:1" x14ac:dyDescent="0.25">
      <c r="A33" s="84"/>
    </row>
  </sheetData>
  <mergeCells count="9">
    <mergeCell ref="J18:N20"/>
    <mergeCell ref="J22:N24"/>
    <mergeCell ref="A25:B25"/>
    <mergeCell ref="A6:B6"/>
    <mergeCell ref="E8:I8"/>
    <mergeCell ref="E9:H9"/>
    <mergeCell ref="J10:N11"/>
    <mergeCell ref="J12:N16"/>
    <mergeCell ref="B15:B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67DB-40C4-4CD7-AFF6-DCC96AD94005}">
  <sheetPr>
    <tabColor rgb="FF00B0F0"/>
    <pageSetUpPr fitToPage="1"/>
  </sheetPr>
  <dimension ref="A1:AA57"/>
  <sheetViews>
    <sheetView zoomScaleNormal="100" workbookViewId="0">
      <selection activeCell="B22" sqref="B22"/>
    </sheetView>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860</v>
      </c>
      <c r="B1" s="45"/>
      <c r="D1" s="347" t="s">
        <v>648</v>
      </c>
      <c r="E1" s="348"/>
      <c r="F1" s="348"/>
      <c r="G1" s="348"/>
      <c r="H1" s="349"/>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704</v>
      </c>
    </row>
    <row r="8" spans="1:27" ht="120" x14ac:dyDescent="0.25">
      <c r="A8" s="3" t="s">
        <v>2</v>
      </c>
      <c r="B8" s="223" t="s">
        <v>864</v>
      </c>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v>6000000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865</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pageSetup scale="56"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sheetPr>
  <dimension ref="A1:AD39"/>
  <sheetViews>
    <sheetView zoomScale="80" zoomScaleNormal="80" workbookViewId="0"/>
  </sheetViews>
  <sheetFormatPr defaultRowHeight="15" x14ac:dyDescent="0.25"/>
  <cols>
    <col min="1" max="1" width="60.85546875" bestFit="1" customWidth="1"/>
    <col min="2" max="2" width="85" customWidth="1"/>
    <col min="3" max="3" width="52.5703125" customWidth="1"/>
    <col min="7" max="7" width="14.28515625" customWidth="1"/>
    <col min="9" max="10" width="14.7109375" customWidth="1"/>
    <col min="19" max="19" width="11" style="121" customWidth="1"/>
  </cols>
  <sheetData>
    <row r="1" spans="1:30" ht="51.75" customHeight="1" x14ac:dyDescent="0.3">
      <c r="A1" s="111" t="s">
        <v>127</v>
      </c>
      <c r="B1" s="45"/>
      <c r="C1" s="1"/>
      <c r="D1" s="391" t="s">
        <v>312</v>
      </c>
      <c r="E1" s="392"/>
      <c r="F1" s="392"/>
      <c r="G1" s="392"/>
      <c r="H1" s="392"/>
      <c r="I1" s="392"/>
      <c r="J1" s="393"/>
      <c r="K1" s="20"/>
    </row>
    <row r="2" spans="1:30" ht="27.75" customHeight="1" x14ac:dyDescent="0.25">
      <c r="A2" t="s">
        <v>253</v>
      </c>
      <c r="C2" s="1"/>
      <c r="K2" s="20"/>
      <c r="M2" s="20"/>
      <c r="N2" s="20"/>
      <c r="O2" s="20"/>
      <c r="P2" s="20"/>
      <c r="Q2" s="20"/>
    </row>
    <row r="3" spans="1:30" ht="15" customHeight="1" x14ac:dyDescent="0.25">
      <c r="A3" s="2" t="s">
        <v>8</v>
      </c>
      <c r="B3" s="2"/>
      <c r="C3" s="1"/>
      <c r="E3" s="20"/>
      <c r="F3" s="20"/>
      <c r="G3" s="20"/>
      <c r="H3" s="20"/>
      <c r="I3" s="20"/>
      <c r="J3" s="20"/>
      <c r="K3" s="20"/>
    </row>
    <row r="4" spans="1:30" ht="18" customHeight="1" x14ac:dyDescent="0.25">
      <c r="A4" s="9" t="s">
        <v>9</v>
      </c>
      <c r="B4" s="9"/>
      <c r="C4" s="1"/>
      <c r="E4" s="20"/>
      <c r="F4" s="20"/>
      <c r="G4" s="20"/>
      <c r="H4" s="20"/>
      <c r="I4" s="20"/>
      <c r="J4" s="20"/>
      <c r="K4" s="20"/>
    </row>
    <row r="5" spans="1:30" x14ac:dyDescent="0.25">
      <c r="C5" s="1" t="s">
        <v>31</v>
      </c>
      <c r="D5" s="20"/>
      <c r="E5" s="20"/>
      <c r="F5" s="20"/>
      <c r="G5" s="20"/>
      <c r="H5" s="20"/>
      <c r="I5" s="20"/>
      <c r="J5" s="20"/>
      <c r="K5" s="20"/>
    </row>
    <row r="6" spans="1:30" x14ac:dyDescent="0.25">
      <c r="A6" s="350" t="s">
        <v>10</v>
      </c>
      <c r="B6" s="351"/>
      <c r="C6" s="1"/>
      <c r="E6" s="20"/>
      <c r="F6" s="20"/>
      <c r="G6" s="20"/>
      <c r="H6" s="20"/>
      <c r="I6" s="20"/>
      <c r="J6" s="20"/>
      <c r="K6" s="20" t="s">
        <v>134</v>
      </c>
    </row>
    <row r="7" spans="1:30" x14ac:dyDescent="0.25">
      <c r="A7" s="3" t="s">
        <v>0</v>
      </c>
      <c r="B7" s="3" t="s">
        <v>197</v>
      </c>
      <c r="C7" s="1"/>
      <c r="D7" t="str">
        <f>+'St. Albans'!D4</f>
        <v xml:space="preserve"> </v>
      </c>
      <c r="E7" s="20"/>
      <c r="F7" s="43" t="s">
        <v>150</v>
      </c>
      <c r="G7" s="43">
        <v>1</v>
      </c>
      <c r="H7" s="43"/>
      <c r="I7" s="20" t="s">
        <v>169</v>
      </c>
      <c r="J7" s="53">
        <v>0</v>
      </c>
      <c r="K7" s="20" t="s">
        <v>168</v>
      </c>
      <c r="L7" s="52" t="s">
        <v>134</v>
      </c>
    </row>
    <row r="8" spans="1:30" ht="48.75" customHeight="1" x14ac:dyDescent="0.25">
      <c r="A8" s="3" t="s">
        <v>2</v>
      </c>
      <c r="B8" s="85" t="s">
        <v>196</v>
      </c>
      <c r="C8" s="1"/>
    </row>
    <row r="9" spans="1:30" ht="163.5" customHeight="1" x14ac:dyDescent="0.25">
      <c r="A9" s="63" t="s">
        <v>238</v>
      </c>
      <c r="B9" s="85" t="s">
        <v>250</v>
      </c>
      <c r="C9" s="1"/>
      <c r="E9" s="352" t="s">
        <v>100</v>
      </c>
      <c r="F9" s="352"/>
      <c r="G9" s="352"/>
      <c r="H9" s="352"/>
      <c r="I9" s="352"/>
      <c r="J9" s="352"/>
      <c r="K9" s="352"/>
      <c r="L9" s="352"/>
    </row>
    <row r="10" spans="1:30" ht="15.75" thickBot="1" x14ac:dyDescent="0.3">
      <c r="A10" s="3" t="s">
        <v>1</v>
      </c>
      <c r="B10" s="3" t="s">
        <v>130</v>
      </c>
      <c r="C10" s="1" t="s">
        <v>48</v>
      </c>
      <c r="E10" s="353" t="s">
        <v>53</v>
      </c>
      <c r="F10" s="354"/>
      <c r="G10" s="354"/>
      <c r="H10" s="354"/>
      <c r="I10" s="355"/>
      <c r="J10" s="99" t="s">
        <v>134</v>
      </c>
      <c r="K10" s="72"/>
      <c r="L10" s="3" t="str">
        <f>B15</f>
        <v>16 MVA</v>
      </c>
      <c r="M10" t="s">
        <v>74</v>
      </c>
      <c r="S10" s="36" t="s">
        <v>76</v>
      </c>
      <c r="T10" s="36"/>
      <c r="U10" s="36"/>
      <c r="V10" s="36"/>
      <c r="W10" s="36"/>
      <c r="X10" s="36"/>
      <c r="Y10" s="36"/>
      <c r="Z10" s="36"/>
      <c r="AA10" s="36"/>
      <c r="AB10" s="36"/>
      <c r="AC10" s="36"/>
      <c r="AD10" s="36"/>
    </row>
    <row r="11" spans="1:30" ht="57.75" customHeight="1" thickBot="1" x14ac:dyDescent="0.3">
      <c r="A11" s="3" t="s">
        <v>4</v>
      </c>
      <c r="B11" s="3" t="s">
        <v>148</v>
      </c>
      <c r="C11" s="1" t="s">
        <v>3</v>
      </c>
      <c r="E11" s="30" t="s">
        <v>75</v>
      </c>
      <c r="F11" s="31" t="s">
        <v>147</v>
      </c>
      <c r="G11" s="31" t="s">
        <v>146</v>
      </c>
      <c r="H11" s="31" t="s">
        <v>186</v>
      </c>
      <c r="I11" s="100" t="s">
        <v>90</v>
      </c>
      <c r="J11" s="93" t="s">
        <v>185</v>
      </c>
      <c r="K11" s="31" t="s">
        <v>144</v>
      </c>
      <c r="L11" s="31" t="s">
        <v>184</v>
      </c>
      <c r="M11" s="344" t="s">
        <v>92</v>
      </c>
      <c r="N11" s="345"/>
      <c r="O11" s="345"/>
      <c r="P11" s="345"/>
      <c r="Q11" s="345"/>
      <c r="S11" s="36" t="s">
        <v>77</v>
      </c>
      <c r="T11" s="41">
        <v>0.9</v>
      </c>
      <c r="U11" s="39">
        <v>0.8</v>
      </c>
      <c r="V11" s="39">
        <v>0.7</v>
      </c>
      <c r="W11" s="40">
        <v>0.6</v>
      </c>
      <c r="X11" s="41">
        <v>0.5</v>
      </c>
      <c r="Y11" s="39">
        <v>0.4</v>
      </c>
      <c r="Z11" s="39">
        <v>0.3</v>
      </c>
      <c r="AA11" s="39">
        <v>0.2</v>
      </c>
      <c r="AB11" s="39">
        <v>0.1</v>
      </c>
      <c r="AC11" s="39">
        <v>0.05</v>
      </c>
      <c r="AD11" s="38">
        <v>18537</v>
      </c>
    </row>
    <row r="12" spans="1:30" ht="42" customHeight="1" x14ac:dyDescent="0.25">
      <c r="A12" s="7" t="s">
        <v>49</v>
      </c>
      <c r="B12" s="110" t="s">
        <v>195</v>
      </c>
      <c r="C12" s="1"/>
      <c r="E12" s="26">
        <v>2013</v>
      </c>
      <c r="F12" s="94" t="s">
        <v>137</v>
      </c>
      <c r="G12" s="94">
        <v>14.05</v>
      </c>
      <c r="H12" s="94">
        <f>+G12-(J7*0.5)</f>
        <v>14.05</v>
      </c>
      <c r="I12" s="101" t="s">
        <v>137</v>
      </c>
      <c r="J12" s="101" t="s">
        <v>137</v>
      </c>
      <c r="K12" s="102" t="s">
        <v>134</v>
      </c>
      <c r="L12" s="102">
        <f>+H12-16</f>
        <v>-1.9499999999999993</v>
      </c>
      <c r="M12" s="344"/>
      <c r="N12" s="345"/>
      <c r="O12" s="345"/>
      <c r="P12" s="345"/>
      <c r="Q12" s="345"/>
      <c r="S12" s="36">
        <v>2011</v>
      </c>
      <c r="T12" s="36">
        <v>1030</v>
      </c>
      <c r="U12" s="36">
        <v>1035</v>
      </c>
      <c r="V12" s="36">
        <v>1040</v>
      </c>
      <c r="W12" s="36">
        <v>1050</v>
      </c>
      <c r="X12" s="36">
        <v>1070</v>
      </c>
      <c r="Y12" s="36">
        <v>1075</v>
      </c>
      <c r="Z12" s="36">
        <v>1090</v>
      </c>
      <c r="AA12" s="36">
        <v>1095</v>
      </c>
      <c r="AB12" s="36">
        <v>1110</v>
      </c>
      <c r="AC12" s="36">
        <v>1110</v>
      </c>
      <c r="AD12" s="36">
        <v>1.0373829999999999</v>
      </c>
    </row>
    <row r="13" spans="1:30" ht="32.25" customHeight="1" x14ac:dyDescent="0.25">
      <c r="A13" s="7" t="s">
        <v>50</v>
      </c>
      <c r="B13" s="14" t="s">
        <v>195</v>
      </c>
      <c r="C13" s="1"/>
      <c r="E13" s="26">
        <f t="shared" ref="E13:E31" si="0">+E12+1</f>
        <v>2014</v>
      </c>
      <c r="F13" s="94" t="s">
        <v>137</v>
      </c>
      <c r="G13" s="94">
        <v>14.05</v>
      </c>
      <c r="H13" s="94">
        <f t="shared" ref="H13:H23" si="1">+H12*$G$7</f>
        <v>14.05</v>
      </c>
      <c r="I13" s="101" t="s">
        <v>137</v>
      </c>
      <c r="J13" s="101" t="s">
        <v>137</v>
      </c>
      <c r="K13" s="102" t="s">
        <v>134</v>
      </c>
      <c r="L13" s="102">
        <f t="shared" ref="L13:L23" si="2">+G13-16</f>
        <v>-1.9499999999999993</v>
      </c>
      <c r="M13" s="344" t="s">
        <v>91</v>
      </c>
      <c r="N13" s="345"/>
      <c r="O13" s="345"/>
      <c r="P13" s="345"/>
      <c r="Q13" s="345"/>
      <c r="S13" s="36">
        <v>2012</v>
      </c>
      <c r="T13" s="36">
        <v>1050</v>
      </c>
      <c r="U13" s="36">
        <v>1055</v>
      </c>
      <c r="V13" s="36">
        <v>1060</v>
      </c>
      <c r="W13" s="36">
        <v>1070</v>
      </c>
      <c r="X13" s="36">
        <v>1090</v>
      </c>
      <c r="Y13" s="36">
        <v>1095</v>
      </c>
      <c r="Z13" s="36">
        <v>1115</v>
      </c>
      <c r="AA13" s="36">
        <v>1120</v>
      </c>
      <c r="AB13" s="36">
        <v>1125</v>
      </c>
      <c r="AC13" s="36">
        <v>1135</v>
      </c>
      <c r="AD13" s="36">
        <v>1.0321100000000001</v>
      </c>
    </row>
    <row r="14" spans="1:30" ht="21.75" customHeight="1" x14ac:dyDescent="0.25">
      <c r="A14" s="14" t="s">
        <v>51</v>
      </c>
      <c r="B14" s="14" t="s">
        <v>249</v>
      </c>
      <c r="C14" s="1" t="s">
        <v>52</v>
      </c>
      <c r="E14" s="26">
        <f t="shared" si="0"/>
        <v>2015</v>
      </c>
      <c r="F14" s="94" t="s">
        <v>137</v>
      </c>
      <c r="G14" s="94">
        <v>14.05</v>
      </c>
      <c r="H14" s="94">
        <f t="shared" si="1"/>
        <v>14.05</v>
      </c>
      <c r="I14" s="101" t="s">
        <v>137</v>
      </c>
      <c r="J14" s="101" t="s">
        <v>137</v>
      </c>
      <c r="K14" s="102" t="str">
        <f>+K13</f>
        <v xml:space="preserve"> </v>
      </c>
      <c r="L14" s="102">
        <f t="shared" si="2"/>
        <v>-1.9499999999999993</v>
      </c>
      <c r="M14" s="344"/>
      <c r="N14" s="345"/>
      <c r="O14" s="345"/>
      <c r="P14" s="345"/>
      <c r="Q14" s="345"/>
      <c r="S14" s="36">
        <v>2013</v>
      </c>
      <c r="T14" s="36">
        <v>1065</v>
      </c>
      <c r="U14" s="36">
        <v>1070</v>
      </c>
      <c r="V14" s="36">
        <v>1075</v>
      </c>
      <c r="W14" s="36">
        <v>1085</v>
      </c>
      <c r="X14" s="36">
        <v>1105</v>
      </c>
      <c r="Y14" s="36">
        <v>1110</v>
      </c>
      <c r="Z14" s="36">
        <v>1130</v>
      </c>
      <c r="AA14" s="36">
        <v>1135</v>
      </c>
      <c r="AB14" s="36">
        <v>1150</v>
      </c>
      <c r="AC14" s="36">
        <v>1150</v>
      </c>
      <c r="AD14" s="36">
        <v>1.040724</v>
      </c>
    </row>
    <row r="15" spans="1:30" ht="23.25" customHeight="1" x14ac:dyDescent="0.25">
      <c r="A15" s="14" t="s">
        <v>53</v>
      </c>
      <c r="B15" s="98" t="s">
        <v>194</v>
      </c>
      <c r="C15" s="1"/>
      <c r="E15" s="26">
        <f t="shared" si="0"/>
        <v>2016</v>
      </c>
      <c r="F15" s="94" t="s">
        <v>137</v>
      </c>
      <c r="G15" s="94">
        <v>14.05</v>
      </c>
      <c r="H15" s="101">
        <f t="shared" si="1"/>
        <v>14.05</v>
      </c>
      <c r="I15" s="101" t="s">
        <v>137</v>
      </c>
      <c r="J15" s="101" t="s">
        <v>137</v>
      </c>
      <c r="K15" s="95"/>
      <c r="L15" s="102">
        <f t="shared" si="2"/>
        <v>-1.9499999999999993</v>
      </c>
      <c r="M15" s="344"/>
      <c r="N15" s="345"/>
      <c r="O15" s="345"/>
      <c r="P15" s="345"/>
      <c r="Q15" s="345"/>
      <c r="S15" s="36">
        <v>2014</v>
      </c>
      <c r="T15" s="36">
        <v>1080</v>
      </c>
      <c r="U15" s="36">
        <v>1085</v>
      </c>
      <c r="V15" s="36">
        <v>1090</v>
      </c>
      <c r="W15" s="36">
        <v>1100</v>
      </c>
      <c r="X15" s="36">
        <v>1120</v>
      </c>
      <c r="Y15" s="36">
        <v>1125</v>
      </c>
      <c r="Z15" s="36">
        <v>1145</v>
      </c>
      <c r="AA15" s="36">
        <v>1150</v>
      </c>
      <c r="AB15" s="36">
        <v>1165</v>
      </c>
      <c r="AC15" s="36">
        <v>1170</v>
      </c>
      <c r="AD15" s="36">
        <v>1.040179</v>
      </c>
    </row>
    <row r="16" spans="1:30" x14ac:dyDescent="0.25">
      <c r="A16" s="81" t="s">
        <v>41</v>
      </c>
      <c r="B16" s="381" t="s">
        <v>251</v>
      </c>
      <c r="C16" s="1"/>
      <c r="E16" s="26">
        <f t="shared" si="0"/>
        <v>2017</v>
      </c>
      <c r="F16" s="94" t="s">
        <v>137</v>
      </c>
      <c r="G16" s="94">
        <v>14.05</v>
      </c>
      <c r="H16" s="94">
        <f t="shared" si="1"/>
        <v>14.05</v>
      </c>
      <c r="I16" s="101" t="s">
        <v>137</v>
      </c>
      <c r="J16" s="101" t="s">
        <v>137</v>
      </c>
      <c r="K16" s="95"/>
      <c r="L16" s="102">
        <f t="shared" si="2"/>
        <v>-1.9499999999999993</v>
      </c>
      <c r="M16" s="344"/>
      <c r="N16" s="345"/>
      <c r="O16" s="345"/>
      <c r="P16" s="345"/>
      <c r="Q16" s="345"/>
      <c r="S16" s="36">
        <v>2015</v>
      </c>
      <c r="T16" s="36">
        <v>1095</v>
      </c>
      <c r="U16" s="36">
        <v>1100</v>
      </c>
      <c r="V16" s="36">
        <v>1105</v>
      </c>
      <c r="W16" s="36">
        <v>1115</v>
      </c>
      <c r="X16" s="36">
        <v>1135</v>
      </c>
      <c r="Y16" s="36">
        <v>1140</v>
      </c>
      <c r="Z16" s="36">
        <v>1160</v>
      </c>
      <c r="AA16" s="36">
        <v>1165</v>
      </c>
      <c r="AB16" s="36">
        <v>1170</v>
      </c>
      <c r="AC16" s="36">
        <v>1180</v>
      </c>
      <c r="AD16" s="36">
        <v>1.030837</v>
      </c>
    </row>
    <row r="17" spans="1:30" ht="39.75" customHeight="1" x14ac:dyDescent="0.25">
      <c r="A17" s="81" t="s">
        <v>7</v>
      </c>
      <c r="B17" s="382"/>
      <c r="C17" s="1" t="s">
        <v>21</v>
      </c>
      <c r="E17" s="26">
        <f t="shared" si="0"/>
        <v>2018</v>
      </c>
      <c r="F17" s="94" t="s">
        <v>137</v>
      </c>
      <c r="G17" s="94">
        <v>14.05</v>
      </c>
      <c r="H17" s="94">
        <f t="shared" si="1"/>
        <v>14.05</v>
      </c>
      <c r="I17" s="101" t="s">
        <v>137</v>
      </c>
      <c r="J17" s="101" t="s">
        <v>137</v>
      </c>
      <c r="K17" s="95"/>
      <c r="L17" s="102">
        <f t="shared" si="2"/>
        <v>-1.9499999999999993</v>
      </c>
      <c r="M17" s="356"/>
      <c r="N17" s="357"/>
      <c r="O17" s="357"/>
      <c r="P17" s="357"/>
      <c r="Q17" s="357"/>
      <c r="S17" s="36">
        <v>2016</v>
      </c>
      <c r="T17" s="36">
        <v>1105</v>
      </c>
      <c r="U17" s="36">
        <v>1110</v>
      </c>
      <c r="V17" s="36">
        <v>1115</v>
      </c>
      <c r="W17" s="36">
        <v>1125</v>
      </c>
      <c r="X17" s="36">
        <v>1145</v>
      </c>
      <c r="Y17" s="36">
        <v>1150</v>
      </c>
      <c r="Z17" s="36">
        <v>1170</v>
      </c>
      <c r="AA17" s="36">
        <v>1175</v>
      </c>
      <c r="AB17" s="36">
        <v>1190</v>
      </c>
      <c r="AC17" s="36">
        <v>1195</v>
      </c>
      <c r="AD17" s="36">
        <v>1.039301</v>
      </c>
    </row>
    <row r="18" spans="1:30" x14ac:dyDescent="0.25">
      <c r="A18" s="81" t="s">
        <v>72</v>
      </c>
      <c r="B18" s="81" t="s">
        <v>130</v>
      </c>
      <c r="C18" s="1" t="s">
        <v>73</v>
      </c>
      <c r="E18" s="26">
        <f t="shared" si="0"/>
        <v>2019</v>
      </c>
      <c r="F18" s="94" t="s">
        <v>137</v>
      </c>
      <c r="G18" s="94">
        <v>14.05</v>
      </c>
      <c r="H18" s="94">
        <f t="shared" si="1"/>
        <v>14.05</v>
      </c>
      <c r="I18" s="101" t="s">
        <v>137</v>
      </c>
      <c r="J18" s="101" t="s">
        <v>137</v>
      </c>
      <c r="K18" s="95"/>
      <c r="L18" s="102">
        <f t="shared" si="2"/>
        <v>-1.9499999999999993</v>
      </c>
      <c r="M18" s="27" t="s">
        <v>89</v>
      </c>
      <c r="N18" s="28"/>
      <c r="O18" s="28"/>
      <c r="P18" s="28"/>
      <c r="Q18" s="29"/>
      <c r="S18" s="36">
        <v>2017</v>
      </c>
      <c r="T18" s="36">
        <v>1115</v>
      </c>
      <c r="U18" s="36">
        <v>1120</v>
      </c>
      <c r="V18" s="36">
        <v>1125</v>
      </c>
      <c r="W18" s="36">
        <v>1135</v>
      </c>
      <c r="X18" s="36">
        <v>1155</v>
      </c>
      <c r="Y18" s="36">
        <v>1160</v>
      </c>
      <c r="Z18" s="36">
        <v>1180</v>
      </c>
      <c r="AA18" s="36">
        <v>1185</v>
      </c>
      <c r="AB18" s="36">
        <v>1195</v>
      </c>
      <c r="AC18" s="36">
        <v>1205</v>
      </c>
      <c r="AD18" s="36">
        <v>1.034632</v>
      </c>
    </row>
    <row r="19" spans="1:30" x14ac:dyDescent="0.25">
      <c r="A19" s="81" t="s">
        <v>68</v>
      </c>
      <c r="B19" s="82" t="s">
        <v>134</v>
      </c>
      <c r="C19" s="1" t="s">
        <v>69</v>
      </c>
      <c r="E19" s="26">
        <f t="shared" si="0"/>
        <v>2020</v>
      </c>
      <c r="F19" s="94" t="s">
        <v>137</v>
      </c>
      <c r="G19" s="94">
        <v>14.05</v>
      </c>
      <c r="H19" s="94">
        <f t="shared" si="1"/>
        <v>14.05</v>
      </c>
      <c r="I19" s="101" t="s">
        <v>137</v>
      </c>
      <c r="J19" s="101" t="s">
        <v>137</v>
      </c>
      <c r="K19" s="95"/>
      <c r="L19" s="102">
        <f t="shared" si="2"/>
        <v>-1.9499999999999993</v>
      </c>
      <c r="M19" s="413" t="s">
        <v>134</v>
      </c>
      <c r="N19" s="414"/>
      <c r="O19" s="414"/>
      <c r="P19" s="414"/>
      <c r="Q19" s="415"/>
      <c r="S19" s="36">
        <v>2018</v>
      </c>
      <c r="T19" s="36">
        <v>1125</v>
      </c>
      <c r="U19" s="36">
        <v>1130</v>
      </c>
      <c r="V19" s="36">
        <v>1140</v>
      </c>
      <c r="W19" s="36">
        <v>1150</v>
      </c>
      <c r="X19" s="36">
        <v>1170</v>
      </c>
      <c r="Y19" s="36">
        <v>1175</v>
      </c>
      <c r="Z19" s="36">
        <v>1195</v>
      </c>
      <c r="AA19" s="36">
        <v>1200</v>
      </c>
      <c r="AB19" s="36">
        <v>1215</v>
      </c>
      <c r="AC19" s="36">
        <v>1215</v>
      </c>
      <c r="AD19" s="36">
        <v>1.038462</v>
      </c>
    </row>
    <row r="20" spans="1:30" x14ac:dyDescent="0.25">
      <c r="A20" s="81" t="s">
        <v>67</v>
      </c>
      <c r="B20" s="81" t="s">
        <v>193</v>
      </c>
      <c r="C20" s="1" t="s">
        <v>70</v>
      </c>
      <c r="E20" s="26">
        <f t="shared" si="0"/>
        <v>2021</v>
      </c>
      <c r="F20" s="94" t="s">
        <v>137</v>
      </c>
      <c r="G20" s="94">
        <v>14.05</v>
      </c>
      <c r="H20" s="94">
        <f t="shared" si="1"/>
        <v>14.05</v>
      </c>
      <c r="I20" s="101" t="s">
        <v>137</v>
      </c>
      <c r="J20" s="101" t="s">
        <v>137</v>
      </c>
      <c r="K20" s="95"/>
      <c r="L20" s="102">
        <f t="shared" si="2"/>
        <v>-1.9499999999999993</v>
      </c>
      <c r="M20" s="416"/>
      <c r="N20" s="417"/>
      <c r="O20" s="417"/>
      <c r="P20" s="417"/>
      <c r="Q20" s="418"/>
      <c r="S20" s="36">
        <v>2019</v>
      </c>
      <c r="T20" s="36">
        <v>1135</v>
      </c>
      <c r="U20" s="36">
        <v>1140</v>
      </c>
      <c r="V20" s="36">
        <v>1150</v>
      </c>
      <c r="W20" s="36">
        <v>1160</v>
      </c>
      <c r="X20" s="36">
        <v>1180</v>
      </c>
      <c r="Y20" s="36">
        <v>1185</v>
      </c>
      <c r="Z20" s="36">
        <v>1205</v>
      </c>
      <c r="AA20" s="36">
        <v>1210</v>
      </c>
      <c r="AB20" s="36">
        <v>1225</v>
      </c>
      <c r="AC20" s="36">
        <v>1230</v>
      </c>
      <c r="AD20" s="36">
        <v>1.0381359999999999</v>
      </c>
    </row>
    <row r="21" spans="1:30" ht="18.75" customHeight="1" x14ac:dyDescent="0.25">
      <c r="A21" s="64" t="s">
        <v>98</v>
      </c>
      <c r="B21" s="90" t="s">
        <v>192</v>
      </c>
      <c r="C21" s="1" t="s">
        <v>58</v>
      </c>
      <c r="E21" s="26">
        <f t="shared" si="0"/>
        <v>2022</v>
      </c>
      <c r="F21" s="94" t="s">
        <v>137</v>
      </c>
      <c r="G21" s="94">
        <v>14.05</v>
      </c>
      <c r="H21" s="94">
        <f t="shared" si="1"/>
        <v>14.05</v>
      </c>
      <c r="I21" s="101" t="s">
        <v>137</v>
      </c>
      <c r="J21" s="101" t="s">
        <v>137</v>
      </c>
      <c r="K21" s="94" t="s">
        <v>134</v>
      </c>
      <c r="L21" s="102">
        <f t="shared" si="2"/>
        <v>-1.9499999999999993</v>
      </c>
      <c r="M21" s="419"/>
      <c r="N21" s="420"/>
      <c r="O21" s="420"/>
      <c r="P21" s="420"/>
      <c r="Q21" s="421"/>
      <c r="S21" s="36">
        <v>2020</v>
      </c>
      <c r="T21" s="36">
        <v>1145</v>
      </c>
      <c r="U21" s="36">
        <v>1150</v>
      </c>
      <c r="V21" s="36">
        <v>1155</v>
      </c>
      <c r="W21" s="36">
        <v>1170</v>
      </c>
      <c r="X21" s="36">
        <v>1190</v>
      </c>
      <c r="Y21" s="36">
        <v>1195</v>
      </c>
      <c r="Z21" s="36">
        <v>1215</v>
      </c>
      <c r="AA21" s="36">
        <v>1225</v>
      </c>
      <c r="AB21" s="36">
        <v>1235</v>
      </c>
      <c r="AC21" s="36">
        <v>1240</v>
      </c>
      <c r="AD21" s="36">
        <v>1.0378149999999999</v>
      </c>
    </row>
    <row r="22" spans="1:30" x14ac:dyDescent="0.25">
      <c r="A22" s="64" t="s">
        <v>5</v>
      </c>
      <c r="B22" s="91" t="s">
        <v>252</v>
      </c>
      <c r="C22" s="1" t="s">
        <v>6</v>
      </c>
      <c r="E22" s="26">
        <f t="shared" si="0"/>
        <v>2023</v>
      </c>
      <c r="F22" s="94" t="s">
        <v>137</v>
      </c>
      <c r="G22" s="94">
        <v>14.05</v>
      </c>
      <c r="H22" s="94">
        <f t="shared" si="1"/>
        <v>14.05</v>
      </c>
      <c r="I22" s="101" t="s">
        <v>137</v>
      </c>
      <c r="J22" s="101" t="s">
        <v>137</v>
      </c>
      <c r="K22" s="94" t="s">
        <v>134</v>
      </c>
      <c r="L22" s="102">
        <f t="shared" si="2"/>
        <v>-1.9499999999999993</v>
      </c>
      <c r="S22" s="36" t="s">
        <v>78</v>
      </c>
      <c r="T22" s="36"/>
      <c r="U22" s="36"/>
      <c r="V22" s="36"/>
      <c r="W22" s="36"/>
      <c r="X22" s="36"/>
      <c r="Y22" s="36"/>
      <c r="Z22" s="36"/>
      <c r="AA22" s="36"/>
      <c r="AB22" s="36"/>
      <c r="AC22" s="36"/>
      <c r="AD22" s="36"/>
    </row>
    <row r="23" spans="1:30" ht="34.5" customHeight="1" x14ac:dyDescent="0.25">
      <c r="A23" s="64" t="s">
        <v>55</v>
      </c>
      <c r="B23" s="92" t="s">
        <v>191</v>
      </c>
      <c r="C23" s="1" t="s">
        <v>54</v>
      </c>
      <c r="E23" s="26">
        <f t="shared" si="0"/>
        <v>2024</v>
      </c>
      <c r="F23" s="94" t="s">
        <v>137</v>
      </c>
      <c r="G23" s="94">
        <v>14.05</v>
      </c>
      <c r="H23" s="94">
        <f t="shared" si="1"/>
        <v>14.05</v>
      </c>
      <c r="I23" s="101" t="s">
        <v>137</v>
      </c>
      <c r="J23" s="101" t="s">
        <v>137</v>
      </c>
      <c r="K23" s="94"/>
      <c r="L23" s="102">
        <f t="shared" si="2"/>
        <v>-1.9499999999999993</v>
      </c>
      <c r="M23" s="344" t="s">
        <v>96</v>
      </c>
      <c r="N23" s="345"/>
      <c r="O23" s="345"/>
      <c r="P23" s="345"/>
      <c r="Q23" s="345"/>
      <c r="S23" s="36" t="s">
        <v>79</v>
      </c>
      <c r="T23" s="36">
        <v>1030</v>
      </c>
      <c r="U23" s="36">
        <v>1035</v>
      </c>
      <c r="V23" s="36">
        <v>1035</v>
      </c>
      <c r="W23" s="36">
        <v>1035</v>
      </c>
      <c r="X23" s="36">
        <v>1045</v>
      </c>
      <c r="Y23" s="36">
        <v>1050</v>
      </c>
      <c r="Z23" s="36">
        <v>1055</v>
      </c>
      <c r="AA23" s="36">
        <v>1055</v>
      </c>
      <c r="AB23" s="36">
        <v>1060</v>
      </c>
      <c r="AC23" s="36">
        <v>1070</v>
      </c>
      <c r="AD23" s="36">
        <v>1.014354</v>
      </c>
    </row>
    <row r="24" spans="1:30" ht="35.25" customHeight="1" x14ac:dyDescent="0.25">
      <c r="A24" s="64" t="s">
        <v>56</v>
      </c>
      <c r="B24" s="91">
        <f>75000/6</f>
        <v>12500</v>
      </c>
      <c r="C24" s="1" t="s">
        <v>57</v>
      </c>
      <c r="E24" s="26">
        <f t="shared" si="0"/>
        <v>2025</v>
      </c>
      <c r="F24" s="94"/>
      <c r="G24" s="94"/>
      <c r="H24" s="94"/>
      <c r="I24" s="94"/>
      <c r="J24" s="94"/>
      <c r="K24" s="94"/>
      <c r="L24" s="97"/>
      <c r="M24" s="344"/>
      <c r="N24" s="345"/>
      <c r="O24" s="345"/>
      <c r="P24" s="345"/>
      <c r="Q24" s="345"/>
      <c r="S24" s="36" t="s">
        <v>80</v>
      </c>
      <c r="T24" s="36">
        <v>1040</v>
      </c>
      <c r="U24" s="36">
        <v>1045</v>
      </c>
      <c r="V24" s="36">
        <v>1045</v>
      </c>
      <c r="W24" s="36">
        <v>1045</v>
      </c>
      <c r="X24" s="36">
        <v>1055</v>
      </c>
      <c r="Y24" s="36">
        <v>1060</v>
      </c>
      <c r="Z24" s="36">
        <v>1065</v>
      </c>
      <c r="AA24" s="36">
        <v>1065</v>
      </c>
      <c r="AB24" s="36">
        <v>1070</v>
      </c>
      <c r="AC24" s="36">
        <v>1080</v>
      </c>
      <c r="AD24" s="36">
        <v>1.0142180000000001</v>
      </c>
    </row>
    <row r="25" spans="1:30" x14ac:dyDescent="0.25">
      <c r="A25" s="12"/>
      <c r="B25" s="13"/>
      <c r="C25" s="1"/>
      <c r="E25" s="26">
        <f t="shared" si="0"/>
        <v>2026</v>
      </c>
      <c r="F25" s="94"/>
      <c r="G25" s="94"/>
      <c r="H25" s="94"/>
      <c r="I25" s="94"/>
      <c r="J25" s="94"/>
      <c r="K25" s="94"/>
      <c r="L25" s="97"/>
      <c r="M25" s="344"/>
      <c r="N25" s="345"/>
      <c r="O25" s="345"/>
      <c r="P25" s="345"/>
      <c r="Q25" s="345"/>
      <c r="S25" s="36" t="s">
        <v>81</v>
      </c>
      <c r="T25" s="36">
        <v>1050</v>
      </c>
      <c r="U25" s="36">
        <v>1055</v>
      </c>
      <c r="V25" s="36">
        <v>1055</v>
      </c>
      <c r="W25" s="36">
        <v>1055</v>
      </c>
      <c r="X25" s="36">
        <v>1065</v>
      </c>
      <c r="Y25" s="36">
        <v>1070</v>
      </c>
      <c r="Z25" s="36">
        <v>1075</v>
      </c>
      <c r="AA25" s="36">
        <v>1075</v>
      </c>
      <c r="AB25" s="36">
        <v>1080</v>
      </c>
      <c r="AC25" s="36">
        <v>1095</v>
      </c>
      <c r="AD25" s="36">
        <v>1.0140849999999999</v>
      </c>
    </row>
    <row r="26" spans="1:30" x14ac:dyDescent="0.25">
      <c r="A26" s="346" t="s">
        <v>71</v>
      </c>
      <c r="B26" s="346"/>
      <c r="C26" s="1"/>
      <c r="E26" s="26">
        <f t="shared" si="0"/>
        <v>2027</v>
      </c>
      <c r="F26" s="94"/>
      <c r="G26" s="94"/>
      <c r="H26" s="94"/>
      <c r="I26" s="94"/>
      <c r="J26" s="94"/>
      <c r="K26" s="94"/>
      <c r="L26" s="97"/>
      <c r="S26" s="36" t="s">
        <v>82</v>
      </c>
      <c r="T26" s="36">
        <v>1055</v>
      </c>
      <c r="U26" s="36">
        <v>1060</v>
      </c>
      <c r="V26" s="36">
        <v>1060</v>
      </c>
      <c r="W26" s="36">
        <v>1060</v>
      </c>
      <c r="X26" s="36">
        <v>1070</v>
      </c>
      <c r="Y26" s="36">
        <v>1075</v>
      </c>
      <c r="Z26" s="36">
        <v>1080</v>
      </c>
      <c r="AA26" s="36">
        <v>1080</v>
      </c>
      <c r="AB26" s="36">
        <v>1085</v>
      </c>
      <c r="AC26" s="36">
        <v>1095</v>
      </c>
      <c r="AD26" s="36">
        <v>1.014019</v>
      </c>
    </row>
    <row r="27" spans="1:30" x14ac:dyDescent="0.25">
      <c r="A27" s="3" t="s">
        <v>28</v>
      </c>
      <c r="B27" s="3"/>
      <c r="C27" s="1"/>
      <c r="E27" s="26">
        <f t="shared" si="0"/>
        <v>2028</v>
      </c>
      <c r="F27" s="94"/>
      <c r="G27" s="94"/>
      <c r="H27" s="94"/>
      <c r="I27" s="94"/>
      <c r="J27" s="94"/>
      <c r="K27" s="94"/>
      <c r="L27" s="97"/>
      <c r="S27" s="36" t="s">
        <v>83</v>
      </c>
      <c r="T27" s="36">
        <v>1060</v>
      </c>
      <c r="U27" s="36">
        <v>1065</v>
      </c>
      <c r="V27" s="36">
        <v>1065</v>
      </c>
      <c r="W27" s="36">
        <v>1065</v>
      </c>
      <c r="X27" s="36">
        <v>1075</v>
      </c>
      <c r="Y27" s="36">
        <v>1080</v>
      </c>
      <c r="Z27" s="36">
        <v>1085</v>
      </c>
      <c r="AA27" s="36">
        <v>1085</v>
      </c>
      <c r="AB27" s="36">
        <v>1090</v>
      </c>
      <c r="AC27" s="36">
        <v>1110</v>
      </c>
      <c r="AD27" s="36">
        <v>1.0139530000000001</v>
      </c>
    </row>
    <row r="28" spans="1:30" ht="21" customHeight="1" x14ac:dyDescent="0.25">
      <c r="A28" s="3" t="s">
        <v>29</v>
      </c>
      <c r="B28" s="3"/>
      <c r="C28" s="1"/>
      <c r="E28" s="26">
        <f t="shared" si="0"/>
        <v>2029</v>
      </c>
      <c r="F28" s="94"/>
      <c r="G28" s="94"/>
      <c r="H28" s="94"/>
      <c r="I28" s="94"/>
      <c r="J28" s="94"/>
      <c r="K28" s="94"/>
      <c r="L28" s="97"/>
      <c r="S28" s="36" t="s">
        <v>84</v>
      </c>
      <c r="T28" s="36">
        <v>1065</v>
      </c>
      <c r="U28" s="36">
        <v>1070</v>
      </c>
      <c r="V28" s="36">
        <v>1070</v>
      </c>
      <c r="W28" s="36">
        <v>1070</v>
      </c>
      <c r="X28" s="36">
        <v>1080</v>
      </c>
      <c r="Y28" s="36">
        <v>1085</v>
      </c>
      <c r="Z28" s="36">
        <v>1090</v>
      </c>
      <c r="AA28" s="36">
        <v>1090</v>
      </c>
      <c r="AB28" s="36">
        <v>1100</v>
      </c>
      <c r="AC28" s="36">
        <v>1110</v>
      </c>
      <c r="AD28" s="36">
        <v>1.018519</v>
      </c>
    </row>
    <row r="29" spans="1:30" ht="33.75" customHeight="1" x14ac:dyDescent="0.25">
      <c r="A29" s="3" t="s">
        <v>30</v>
      </c>
      <c r="B29" s="17" t="s">
        <v>134</v>
      </c>
      <c r="C29" s="1" t="s">
        <v>43</v>
      </c>
      <c r="E29" s="26">
        <f t="shared" si="0"/>
        <v>2030</v>
      </c>
      <c r="F29" s="94"/>
      <c r="G29" s="94"/>
      <c r="H29" s="94"/>
      <c r="I29" s="94"/>
      <c r="J29" s="94"/>
      <c r="K29" s="94"/>
      <c r="L29" s="97"/>
      <c r="S29" s="36" t="s">
        <v>85</v>
      </c>
      <c r="T29" s="36">
        <v>1075</v>
      </c>
      <c r="U29" s="36">
        <v>1080</v>
      </c>
      <c r="V29" s="36">
        <v>1080</v>
      </c>
      <c r="W29" s="36">
        <v>1080</v>
      </c>
      <c r="X29" s="36">
        <v>1090</v>
      </c>
      <c r="Y29" s="36">
        <v>1095</v>
      </c>
      <c r="Z29" s="36">
        <v>1100</v>
      </c>
      <c r="AA29" s="36">
        <v>1100</v>
      </c>
      <c r="AB29" s="36">
        <v>1105</v>
      </c>
      <c r="AC29" s="36">
        <v>1120</v>
      </c>
      <c r="AD29" s="36">
        <v>1.0137609999999999</v>
      </c>
    </row>
    <row r="30" spans="1:30" x14ac:dyDescent="0.25">
      <c r="A30" s="3" t="s">
        <v>44</v>
      </c>
      <c r="B30" s="3" t="s">
        <v>105</v>
      </c>
      <c r="C30" s="1"/>
      <c r="E30" s="26">
        <f t="shared" si="0"/>
        <v>2031</v>
      </c>
      <c r="F30" s="94"/>
      <c r="G30" s="94"/>
      <c r="H30" s="94"/>
      <c r="I30" s="94"/>
      <c r="J30" s="94"/>
      <c r="K30" s="94"/>
      <c r="L30" s="97"/>
      <c r="S30" s="36" t="s">
        <v>86</v>
      </c>
      <c r="T30" s="36">
        <v>1080</v>
      </c>
      <c r="U30" s="36">
        <v>1085</v>
      </c>
      <c r="V30" s="36">
        <v>1085</v>
      </c>
      <c r="W30" s="36">
        <v>1085</v>
      </c>
      <c r="X30" s="36">
        <v>1095</v>
      </c>
      <c r="Y30" s="36">
        <v>1100</v>
      </c>
      <c r="Z30" s="36">
        <v>1105</v>
      </c>
      <c r="AA30" s="36">
        <v>1105</v>
      </c>
      <c r="AB30" s="36">
        <v>1110</v>
      </c>
      <c r="AC30" s="36">
        <v>1120</v>
      </c>
      <c r="AD30" s="36">
        <v>1.0136989999999999</v>
      </c>
    </row>
    <row r="31" spans="1:30" x14ac:dyDescent="0.25">
      <c r="A31" s="3" t="s">
        <v>47</v>
      </c>
      <c r="B31" s="3" t="s">
        <v>105</v>
      </c>
      <c r="C31" s="1"/>
      <c r="E31" s="26">
        <f t="shared" si="0"/>
        <v>2032</v>
      </c>
      <c r="F31" s="94"/>
      <c r="G31" s="94"/>
      <c r="H31" s="94"/>
      <c r="I31" s="94"/>
      <c r="J31" s="94"/>
      <c r="K31" s="94"/>
      <c r="L31" s="97"/>
      <c r="S31" s="36" t="s">
        <v>87</v>
      </c>
      <c r="T31" s="36">
        <v>1085</v>
      </c>
      <c r="U31" s="36">
        <v>1090</v>
      </c>
      <c r="V31" s="36">
        <v>1090</v>
      </c>
      <c r="W31" s="36">
        <v>1090</v>
      </c>
      <c r="X31" s="36">
        <v>1100</v>
      </c>
      <c r="Y31" s="36">
        <v>1105</v>
      </c>
      <c r="Z31" s="36">
        <v>1110</v>
      </c>
      <c r="AA31" s="36">
        <v>1110</v>
      </c>
      <c r="AB31" s="36">
        <v>1115</v>
      </c>
      <c r="AC31" s="36">
        <v>1125</v>
      </c>
      <c r="AD31" s="36">
        <v>1.013636</v>
      </c>
    </row>
    <row r="32" spans="1:30" x14ac:dyDescent="0.25">
      <c r="A32" s="3" t="s">
        <v>45</v>
      </c>
      <c r="B32" s="3"/>
      <c r="C32" s="1"/>
      <c r="E32" s="20"/>
      <c r="F32" s="20"/>
      <c r="G32" s="20"/>
      <c r="H32" s="20"/>
      <c r="I32" s="20"/>
      <c r="J32" s="20"/>
      <c r="K32" s="20"/>
      <c r="S32" s="36" t="s">
        <v>88</v>
      </c>
      <c r="T32" s="36">
        <v>1090</v>
      </c>
      <c r="U32" s="36">
        <v>1095</v>
      </c>
      <c r="V32" s="36">
        <v>1095</v>
      </c>
      <c r="W32" s="36">
        <v>1095</v>
      </c>
      <c r="X32" s="36">
        <v>1105</v>
      </c>
      <c r="Y32" s="36">
        <v>1110</v>
      </c>
      <c r="Z32" s="36">
        <v>1115</v>
      </c>
      <c r="AA32" s="36">
        <v>1115</v>
      </c>
      <c r="AB32" s="36">
        <v>1120</v>
      </c>
      <c r="AC32" s="36">
        <v>1130</v>
      </c>
      <c r="AD32" s="36">
        <v>1.0135749999999999</v>
      </c>
    </row>
    <row r="33" spans="1:11" x14ac:dyDescent="0.25">
      <c r="A33" s="3" t="s">
        <v>46</v>
      </c>
      <c r="B33" s="3"/>
      <c r="C33" s="1"/>
      <c r="E33" s="20"/>
      <c r="F33" s="20"/>
      <c r="G33" s="20"/>
      <c r="H33" s="20"/>
      <c r="I33" s="20"/>
      <c r="J33" s="20"/>
      <c r="K33" s="20"/>
    </row>
    <row r="34" spans="1:11" x14ac:dyDescent="0.25">
      <c r="A34" s="84"/>
      <c r="C34" s="1"/>
      <c r="E34" s="20"/>
      <c r="F34" s="20"/>
      <c r="G34" s="20"/>
      <c r="H34" s="20"/>
      <c r="I34" s="20"/>
      <c r="J34" s="20"/>
      <c r="K34" s="20"/>
    </row>
    <row r="35" spans="1:11" x14ac:dyDescent="0.25">
      <c r="C35" s="1"/>
      <c r="E35" s="20"/>
      <c r="F35" s="20"/>
      <c r="G35" s="20"/>
      <c r="H35" s="20"/>
      <c r="I35" s="20"/>
      <c r="J35" s="20"/>
      <c r="K35" s="20"/>
    </row>
    <row r="36" spans="1:11" x14ac:dyDescent="0.25">
      <c r="C36" s="1"/>
      <c r="G36" s="20"/>
      <c r="H36" s="20"/>
      <c r="I36" s="20"/>
      <c r="J36" s="20"/>
      <c r="K36" s="20"/>
    </row>
    <row r="37" spans="1:11" x14ac:dyDescent="0.25">
      <c r="C37" s="1"/>
      <c r="G37" s="20"/>
      <c r="H37" s="20"/>
      <c r="I37" s="20"/>
      <c r="J37" s="20"/>
      <c r="K37" s="20"/>
    </row>
    <row r="38" spans="1:11" x14ac:dyDescent="0.25">
      <c r="A38" t="s">
        <v>134</v>
      </c>
      <c r="C38" s="1"/>
      <c r="G38" s="20"/>
      <c r="H38" s="20"/>
      <c r="I38" s="20"/>
      <c r="J38" s="20"/>
      <c r="K38" s="20"/>
    </row>
    <row r="39" spans="1:11" x14ac:dyDescent="0.25">
      <c r="C39" s="1"/>
      <c r="G39" s="20"/>
      <c r="H39" s="20"/>
      <c r="I39" s="20"/>
      <c r="J39" s="20"/>
      <c r="K39" s="20"/>
    </row>
  </sheetData>
  <mergeCells count="10">
    <mergeCell ref="D1:J1"/>
    <mergeCell ref="M19:Q21"/>
    <mergeCell ref="M23:Q25"/>
    <mergeCell ref="A26:B26"/>
    <mergeCell ref="A6:B6"/>
    <mergeCell ref="E9:L9"/>
    <mergeCell ref="E10:I10"/>
    <mergeCell ref="M11:Q12"/>
    <mergeCell ref="M13:Q17"/>
    <mergeCell ref="B16:B17"/>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 style="121" customWidth="1"/>
  </cols>
  <sheetData>
    <row r="1" spans="1:27" ht="50.25" customHeight="1" x14ac:dyDescent="0.3">
      <c r="A1" s="114" t="s">
        <v>307</v>
      </c>
      <c r="B1" s="45"/>
      <c r="C1" s="386" t="s">
        <v>406</v>
      </c>
      <c r="D1" s="387"/>
      <c r="E1" s="387"/>
      <c r="F1" s="387"/>
      <c r="G1" s="388"/>
    </row>
    <row r="2" spans="1:27" ht="15.75" x14ac:dyDescent="0.25">
      <c r="A2" s="67"/>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307</v>
      </c>
    </row>
    <row r="8" spans="1:27" ht="117.75" customHeight="1" x14ac:dyDescent="0.25">
      <c r="A8" s="3" t="s">
        <v>2</v>
      </c>
      <c r="B8" s="116" t="s">
        <v>309</v>
      </c>
    </row>
    <row r="9" spans="1:27" ht="209.25" customHeight="1" x14ac:dyDescent="0.25">
      <c r="A9" s="3" t="s">
        <v>238</v>
      </c>
      <c r="B9" s="116" t="s">
        <v>398</v>
      </c>
      <c r="E9" s="352" t="s">
        <v>100</v>
      </c>
      <c r="F9" s="352"/>
      <c r="G9" s="352"/>
      <c r="H9" s="352"/>
      <c r="I9" s="352"/>
    </row>
    <row r="10" spans="1:27" ht="15.75" thickBot="1" x14ac:dyDescent="0.3">
      <c r="A10" s="3" t="s">
        <v>1</v>
      </c>
      <c r="B10" s="3"/>
      <c r="C10" s="1" t="s">
        <v>48</v>
      </c>
      <c r="E10" s="353" t="s">
        <v>53</v>
      </c>
      <c r="F10" s="354"/>
      <c r="G10" s="354"/>
      <c r="H10" s="355"/>
      <c r="I10" s="3">
        <f>B15</f>
        <v>0</v>
      </c>
      <c r="J10" t="s">
        <v>74</v>
      </c>
      <c r="P10" s="36" t="s">
        <v>76</v>
      </c>
      <c r="Q10" s="36"/>
      <c r="R10" s="36"/>
      <c r="S10" s="36"/>
      <c r="T10" s="36"/>
      <c r="U10" s="36"/>
      <c r="V10" s="36"/>
      <c r="W10" s="36"/>
      <c r="X10" s="36"/>
      <c r="Y10" s="36"/>
      <c r="Z10" s="36"/>
      <c r="AA10" s="36"/>
    </row>
    <row r="11" spans="1:27" ht="48" customHeight="1" thickBot="1" x14ac:dyDescent="0.3">
      <c r="A11" s="3" t="s">
        <v>4</v>
      </c>
      <c r="B11" s="3"/>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c r="E12" s="26">
        <v>2014</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f t="shared" ref="E13:E31" si="0">+E12+1</f>
        <v>2015</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f t="shared" si="0"/>
        <v>2016</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f t="shared" si="0"/>
        <v>2017</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1" t="s">
        <v>41</v>
      </c>
      <c r="B16" s="117"/>
      <c r="E16" s="26">
        <f t="shared" si="0"/>
        <v>2018</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1" t="s">
        <v>7</v>
      </c>
      <c r="B17" s="88"/>
      <c r="C17" s="1" t="s">
        <v>21</v>
      </c>
      <c r="E17" s="26">
        <f t="shared" si="0"/>
        <v>2019</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f t="shared" si="0"/>
        <v>2020</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f t="shared" si="0"/>
        <v>2021</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f t="shared" si="0"/>
        <v>2022</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137" t="s">
        <v>392</v>
      </c>
      <c r="C21" s="1" t="s">
        <v>58</v>
      </c>
      <c r="E21" s="26">
        <f t="shared" si="0"/>
        <v>2023</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c r="C22" s="1" t="s">
        <v>6</v>
      </c>
      <c r="E22" s="26">
        <f t="shared" si="0"/>
        <v>2024</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f t="shared" si="0"/>
        <v>2025</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f t="shared" si="0"/>
        <v>2026</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f t="shared" si="0"/>
        <v>2027</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f t="shared" si="0"/>
        <v>2028</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f t="shared" si="0"/>
        <v>2029</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f t="shared" si="0"/>
        <v>2030</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f t="shared" si="0"/>
        <v>2031</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f t="shared" si="0"/>
        <v>2032</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f t="shared" si="0"/>
        <v>2033</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3.5" customHeight="1" x14ac:dyDescent="0.25">
      <c r="A34" s="84"/>
    </row>
    <row r="57" spans="3:8" customFormat="1" x14ac:dyDescent="0.25">
      <c r="C57" s="1"/>
      <c r="E57" s="20"/>
      <c r="F57" s="20"/>
      <c r="G57" s="20"/>
      <c r="H57" s="20"/>
    </row>
    <row r="58" spans="3:8" customFormat="1" x14ac:dyDescent="0.25"/>
  </sheetData>
  <mergeCells count="9">
    <mergeCell ref="C1:G1"/>
    <mergeCell ref="J19:N21"/>
    <mergeCell ref="J23:N25"/>
    <mergeCell ref="A26:B26"/>
    <mergeCell ref="A6:B6"/>
    <mergeCell ref="E9:I9"/>
    <mergeCell ref="E10:H10"/>
    <mergeCell ref="J11:N12"/>
    <mergeCell ref="J13:N17"/>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AA58"/>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2.140625" style="121" customWidth="1"/>
  </cols>
  <sheetData>
    <row r="1" spans="1:27" ht="59.25" customHeight="1" x14ac:dyDescent="0.3">
      <c r="A1" s="114" t="s">
        <v>261</v>
      </c>
      <c r="B1" s="45"/>
      <c r="C1" s="386" t="s">
        <v>408</v>
      </c>
      <c r="D1" s="387"/>
      <c r="E1" s="387"/>
      <c r="F1" s="387"/>
      <c r="G1" s="388"/>
    </row>
    <row r="2" spans="1:27" x14ac:dyDescent="0.25">
      <c r="A2" s="58" t="s">
        <v>402</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261</v>
      </c>
    </row>
    <row r="8" spans="1:27" ht="60" customHeight="1" x14ac:dyDescent="0.25">
      <c r="A8" s="3" t="s">
        <v>2</v>
      </c>
      <c r="B8" s="85" t="s">
        <v>262</v>
      </c>
    </row>
    <row r="9" spans="1:27" ht="211.15" customHeight="1" x14ac:dyDescent="0.25">
      <c r="A9" s="3" t="s">
        <v>238</v>
      </c>
      <c r="B9" s="85" t="s">
        <v>434</v>
      </c>
      <c r="E9" s="352" t="s">
        <v>100</v>
      </c>
      <c r="F9" s="352"/>
      <c r="G9" s="352"/>
      <c r="H9" s="352"/>
      <c r="I9" s="352"/>
    </row>
    <row r="10" spans="1:27" ht="15.75" thickBot="1" x14ac:dyDescent="0.3">
      <c r="A10" s="3" t="s">
        <v>1</v>
      </c>
      <c r="B10" s="3" t="s">
        <v>245</v>
      </c>
      <c r="C10" s="1" t="s">
        <v>48</v>
      </c>
      <c r="E10" s="353" t="s">
        <v>53</v>
      </c>
      <c r="F10" s="354"/>
      <c r="G10" s="354"/>
      <c r="H10" s="355"/>
      <c r="I10" s="3">
        <f>B15</f>
        <v>0</v>
      </c>
      <c r="J10" t="s">
        <v>74</v>
      </c>
      <c r="P10" s="36" t="s">
        <v>76</v>
      </c>
      <c r="Q10" s="36"/>
      <c r="R10" s="36"/>
      <c r="S10" s="36"/>
      <c r="T10" s="36"/>
      <c r="U10" s="36"/>
      <c r="V10" s="36"/>
      <c r="W10" s="36"/>
      <c r="X10" s="36"/>
      <c r="Y10" s="36"/>
      <c r="Z10" s="36"/>
      <c r="AA10" s="36"/>
    </row>
    <row r="11" spans="1:27" ht="48" customHeight="1" thickBot="1" x14ac:dyDescent="0.3">
      <c r="A11" s="3" t="s">
        <v>4</v>
      </c>
      <c r="B11" s="3" t="s">
        <v>263</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41.25" customHeight="1" x14ac:dyDescent="0.25">
      <c r="A12" s="7" t="s">
        <v>49</v>
      </c>
      <c r="B12" s="147" t="s">
        <v>407</v>
      </c>
      <c r="E12" s="26">
        <v>2014</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c r="E13" s="26">
        <v>2015</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t="s">
        <v>116</v>
      </c>
      <c r="C14" s="1" t="s">
        <v>52</v>
      </c>
      <c r="E14" s="26">
        <f>+E13+1</f>
        <v>2016</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f t="shared" ref="E15:E31" si="0">+E14+1</f>
        <v>2017</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81" t="s">
        <v>41</v>
      </c>
      <c r="B16" s="366" t="s">
        <v>259</v>
      </c>
      <c r="E16" s="26">
        <f t="shared" si="0"/>
        <v>2018</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81" t="s">
        <v>7</v>
      </c>
      <c r="B17" s="367"/>
      <c r="C17" s="1" t="s">
        <v>21</v>
      </c>
      <c r="E17" s="26">
        <f t="shared" si="0"/>
        <v>2019</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f t="shared" si="0"/>
        <v>2020</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f t="shared" si="0"/>
        <v>2021</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f t="shared" si="0"/>
        <v>2022</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83" t="s">
        <v>99</v>
      </c>
      <c r="C21" s="1" t="s">
        <v>58</v>
      </c>
      <c r="E21" s="26">
        <f t="shared" si="0"/>
        <v>2023</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16"/>
      <c r="C22" s="1" t="s">
        <v>6</v>
      </c>
      <c r="E22" s="26">
        <f t="shared" si="0"/>
        <v>2024</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c r="C23" s="1" t="s">
        <v>54</v>
      </c>
      <c r="E23" s="26">
        <f t="shared" si="0"/>
        <v>2025</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f t="shared" si="0"/>
        <v>2026</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f t="shared" si="0"/>
        <v>2027</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f t="shared" si="0"/>
        <v>2028</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f t="shared" si="0"/>
        <v>2029</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f t="shared" si="0"/>
        <v>2030</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f t="shared" si="0"/>
        <v>2031</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f t="shared" si="0"/>
        <v>2032</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f t="shared" si="0"/>
        <v>2033</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8" customHeight="1" x14ac:dyDescent="0.25">
      <c r="A34" s="84"/>
    </row>
    <row r="57" spans="3:8" customFormat="1" x14ac:dyDescent="0.25">
      <c r="C57" s="1"/>
      <c r="E57" s="20"/>
      <c r="F57" s="20"/>
      <c r="G57" s="20"/>
      <c r="H57" s="20"/>
    </row>
    <row r="58" spans="3:8" customFormat="1" x14ac:dyDescent="0.25"/>
  </sheetData>
  <mergeCells count="10">
    <mergeCell ref="J19:N21"/>
    <mergeCell ref="J23:N25"/>
    <mergeCell ref="A26:B26"/>
    <mergeCell ref="C1:G1"/>
    <mergeCell ref="A6:B6"/>
    <mergeCell ref="E9:I9"/>
    <mergeCell ref="E10:H10"/>
    <mergeCell ref="J11:N12"/>
    <mergeCell ref="J13:N17"/>
    <mergeCell ref="B16:B17"/>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1" t="s">
        <v>418</v>
      </c>
      <c r="B1" s="179" t="s">
        <v>521</v>
      </c>
      <c r="D1" s="378" t="s">
        <v>420</v>
      </c>
      <c r="E1" s="379"/>
      <c r="F1" s="379"/>
      <c r="G1" s="379"/>
      <c r="H1" s="380"/>
    </row>
    <row r="2" spans="1:27" x14ac:dyDescent="0.25">
      <c r="A2" s="58" t="s">
        <v>441</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64" t="s">
        <v>418</v>
      </c>
    </row>
    <row r="8" spans="1:27" ht="398.25" customHeight="1" x14ac:dyDescent="0.25">
      <c r="A8" s="3" t="s">
        <v>2</v>
      </c>
      <c r="B8" s="163" t="s">
        <v>449</v>
      </c>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64" t="s">
        <v>380</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14" t="s">
        <v>419</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14"/>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14" t="s">
        <v>421</v>
      </c>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37.15" customHeight="1" x14ac:dyDescent="0.25">
      <c r="A20" s="3" t="s">
        <v>98</v>
      </c>
      <c r="B20" s="162" t="s">
        <v>447</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ht="45.6" customHeight="1" x14ac:dyDescent="0.25">
      <c r="A21" s="3" t="s">
        <v>5</v>
      </c>
      <c r="B21" s="161" t="s">
        <v>448</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18:N20"/>
    <mergeCell ref="J22:N24"/>
    <mergeCell ref="A25:B25"/>
    <mergeCell ref="D1:H1"/>
    <mergeCell ref="A6:B6"/>
    <mergeCell ref="E8:I8"/>
    <mergeCell ref="E9:H9"/>
    <mergeCell ref="J10:N11"/>
    <mergeCell ref="J12:N16"/>
    <mergeCell ref="B15:B16"/>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2.7109375" style="121" customWidth="1"/>
  </cols>
  <sheetData>
    <row r="1" spans="1:27" ht="60" customHeight="1" x14ac:dyDescent="0.3">
      <c r="A1" s="114" t="s">
        <v>478</v>
      </c>
      <c r="B1" s="45"/>
      <c r="C1" s="347" t="s">
        <v>413</v>
      </c>
      <c r="D1" s="348"/>
      <c r="E1" s="348"/>
      <c r="F1" s="348"/>
      <c r="G1" s="349"/>
    </row>
    <row r="2" spans="1:27" ht="25.5" customHeight="1" x14ac:dyDescent="0.25">
      <c r="A2" s="58" t="s">
        <v>460</v>
      </c>
    </row>
    <row r="3" spans="1:27" ht="15" customHeight="1" x14ac:dyDescent="0.25">
      <c r="A3" s="2" t="s">
        <v>8</v>
      </c>
      <c r="B3" s="2"/>
    </row>
    <row r="4" spans="1:27" ht="15" customHeight="1" x14ac:dyDescent="0.25">
      <c r="A4" s="9" t="s">
        <v>9</v>
      </c>
      <c r="B4" s="9"/>
      <c r="E4" s="20" t="s">
        <v>414</v>
      </c>
    </row>
    <row r="5" spans="1:27" x14ac:dyDescent="0.25">
      <c r="C5" s="1" t="s">
        <v>31</v>
      </c>
    </row>
    <row r="6" spans="1:27" x14ac:dyDescent="0.25">
      <c r="A6" s="350" t="s">
        <v>10</v>
      </c>
      <c r="B6" s="351"/>
    </row>
    <row r="7" spans="1:27" ht="21" customHeight="1" x14ac:dyDescent="0.25">
      <c r="A7" s="3" t="s">
        <v>0</v>
      </c>
      <c r="B7" s="3" t="s">
        <v>410</v>
      </c>
    </row>
    <row r="8" spans="1:27" ht="135.75" customHeight="1" x14ac:dyDescent="0.25">
      <c r="A8" s="3" t="s">
        <v>2</v>
      </c>
      <c r="B8" s="164" t="s">
        <v>477</v>
      </c>
      <c r="E8" s="352" t="s">
        <v>100</v>
      </c>
      <c r="F8" s="352"/>
      <c r="G8" s="352"/>
      <c r="H8" s="352"/>
      <c r="I8" s="352"/>
    </row>
    <row r="9" spans="1:27" ht="15.75" thickBot="1" x14ac:dyDescent="0.3">
      <c r="A9" s="3" t="s">
        <v>1</v>
      </c>
      <c r="B9" s="3"/>
      <c r="C9" s="1" t="s">
        <v>48</v>
      </c>
      <c r="E9" s="353" t="s">
        <v>53</v>
      </c>
      <c r="F9" s="354"/>
      <c r="G9" s="354"/>
      <c r="H9" s="355"/>
      <c r="I9" s="3" t="str">
        <f>B14</f>
        <v>23.42 MVA (Rating 2/0 CU)</v>
      </c>
      <c r="J9" t="s">
        <v>74</v>
      </c>
      <c r="P9" s="36" t="s">
        <v>76</v>
      </c>
      <c r="Q9" s="36"/>
      <c r="R9" s="36"/>
      <c r="S9" s="36"/>
      <c r="T9" s="36"/>
      <c r="U9" s="36"/>
      <c r="V9" s="36"/>
      <c r="W9" s="36"/>
      <c r="X9" s="36"/>
      <c r="Y9" s="36"/>
      <c r="Z9" s="36"/>
      <c r="AA9" s="36"/>
    </row>
    <row r="10" spans="1:27" ht="48" customHeight="1" thickBot="1" x14ac:dyDescent="0.3">
      <c r="A10" s="3" t="s">
        <v>4</v>
      </c>
      <c r="B10" s="3" t="s">
        <v>102</v>
      </c>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t="s">
        <v>383</v>
      </c>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t="s">
        <v>382</v>
      </c>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76" t="s">
        <v>504</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369.75" customHeight="1" x14ac:dyDescent="0.25">
      <c r="A16" s="80" t="s">
        <v>7</v>
      </c>
      <c r="B16" s="382"/>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90" t="s">
        <v>386</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51">
        <v>946000</v>
      </c>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t="s">
        <v>178</v>
      </c>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f>+B21/6</f>
        <v>157666.66666666666</v>
      </c>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2" ht="15.75" customHeight="1" x14ac:dyDescent="0.25">
      <c r="A33" s="84"/>
    </row>
    <row r="34" spans="1:2" x14ac:dyDescent="0.25">
      <c r="B34" s="58" t="s">
        <v>412</v>
      </c>
    </row>
    <row r="35" spans="1:2" x14ac:dyDescent="0.25">
      <c r="A35" s="58">
        <v>1.0152000000000001</v>
      </c>
      <c r="B35" s="58" t="s">
        <v>411</v>
      </c>
    </row>
    <row r="36" spans="1:2" x14ac:dyDescent="0.25">
      <c r="A36" s="58"/>
      <c r="B36" s="58"/>
    </row>
    <row r="37" spans="1:2" x14ac:dyDescent="0.25">
      <c r="A37" s="58">
        <v>2012</v>
      </c>
      <c r="B37" s="152">
        <v>2500000</v>
      </c>
    </row>
    <row r="38" spans="1:2" x14ac:dyDescent="0.25">
      <c r="A38" s="58">
        <v>2013</v>
      </c>
      <c r="B38" s="152">
        <v>2538000</v>
      </c>
    </row>
    <row r="39" spans="1:2" x14ac:dyDescent="0.25">
      <c r="A39" s="58">
        <v>2014</v>
      </c>
      <c r="B39" s="152">
        <v>2576578</v>
      </c>
    </row>
    <row r="40" spans="1:2" x14ac:dyDescent="0.25">
      <c r="A40" s="58">
        <v>2015</v>
      </c>
      <c r="B40" s="152">
        <v>2615742</v>
      </c>
    </row>
    <row r="41" spans="1:2" x14ac:dyDescent="0.25">
      <c r="A41" s="58">
        <v>2016</v>
      </c>
      <c r="B41" s="152">
        <v>2655501</v>
      </c>
    </row>
    <row r="42" spans="1:2" x14ac:dyDescent="0.25">
      <c r="A42" s="58">
        <v>2017</v>
      </c>
      <c r="B42" s="152">
        <v>2695864</v>
      </c>
    </row>
    <row r="56" customFormat="1" x14ac:dyDescent="0.25"/>
    <row r="57" customFormat="1" x14ac:dyDescent="0.25"/>
  </sheetData>
  <mergeCells count="10">
    <mergeCell ref="C1:G1"/>
    <mergeCell ref="J18:N20"/>
    <mergeCell ref="J22:N24"/>
    <mergeCell ref="A25:B25"/>
    <mergeCell ref="A6:B6"/>
    <mergeCell ref="E8:I8"/>
    <mergeCell ref="E9:H9"/>
    <mergeCell ref="J10:N11"/>
    <mergeCell ref="J12:N16"/>
    <mergeCell ref="B15:B16"/>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C1:R44"/>
  <sheetViews>
    <sheetView topLeftCell="C1" workbookViewId="0">
      <selection activeCell="C1" sqref="C1"/>
    </sheetView>
  </sheetViews>
  <sheetFormatPr defaultRowHeight="15" x14ac:dyDescent="0.25"/>
  <cols>
    <col min="9" max="9" width="17.5703125" bestFit="1" customWidth="1"/>
    <col min="16" max="16" width="2.5703125" customWidth="1"/>
  </cols>
  <sheetData>
    <row r="1" spans="3:16" ht="14.45" x14ac:dyDescent="0.25">
      <c r="D1" t="s">
        <v>273</v>
      </c>
    </row>
    <row r="4" spans="3:16" ht="14.45" x14ac:dyDescent="0.25">
      <c r="C4" s="62" t="s">
        <v>234</v>
      </c>
    </row>
    <row r="5" spans="3:16" ht="14.45" x14ac:dyDescent="0.25">
      <c r="C5" t="s">
        <v>219</v>
      </c>
      <c r="D5" t="s">
        <v>233</v>
      </c>
    </row>
    <row r="7" spans="3:16" ht="14.45" x14ac:dyDescent="0.25">
      <c r="C7" t="s">
        <v>216</v>
      </c>
    </row>
    <row r="8" spans="3:16" ht="14.45" x14ac:dyDescent="0.25">
      <c r="C8">
        <v>2010</v>
      </c>
      <c r="D8">
        <v>44.42</v>
      </c>
    </row>
    <row r="9" spans="3:16" ht="14.45" x14ac:dyDescent="0.25">
      <c r="C9">
        <v>2011</v>
      </c>
      <c r="D9">
        <v>45.54</v>
      </c>
    </row>
    <row r="10" spans="3:16" ht="14.45" x14ac:dyDescent="0.25">
      <c r="C10">
        <v>2012</v>
      </c>
      <c r="D10">
        <v>44.06</v>
      </c>
    </row>
    <row r="11" spans="3:16" ht="14.45" x14ac:dyDescent="0.25">
      <c r="C11">
        <v>2013</v>
      </c>
      <c r="D11" s="58">
        <v>44.21</v>
      </c>
    </row>
    <row r="12" spans="3:16" ht="14.45" x14ac:dyDescent="0.25">
      <c r="C12" t="s">
        <v>232</v>
      </c>
      <c r="F12" t="s">
        <v>231</v>
      </c>
    </row>
    <row r="13" spans="3:16" ht="14.45" x14ac:dyDescent="0.25">
      <c r="C13" t="s">
        <v>211</v>
      </c>
      <c r="F13">
        <v>1.159</v>
      </c>
      <c r="I13" s="44" t="s">
        <v>210</v>
      </c>
      <c r="J13" s="44" t="s">
        <v>230</v>
      </c>
      <c r="K13" s="44"/>
      <c r="L13" s="44"/>
      <c r="M13" s="44"/>
      <c r="N13" s="44"/>
      <c r="O13" s="44"/>
      <c r="P13" s="44"/>
    </row>
    <row r="14" spans="3:16" ht="14.45" x14ac:dyDescent="0.25">
      <c r="C14" s="52" t="s">
        <v>229</v>
      </c>
      <c r="I14" s="44"/>
      <c r="J14" s="44" t="s">
        <v>228</v>
      </c>
      <c r="K14" s="44"/>
      <c r="L14" s="44"/>
      <c r="M14" s="44"/>
      <c r="N14" s="44"/>
      <c r="O14" s="44"/>
      <c r="P14" s="44"/>
    </row>
    <row r="17" spans="3:18" ht="14.45" x14ac:dyDescent="0.25">
      <c r="C17" s="62" t="s">
        <v>227</v>
      </c>
      <c r="F17" t="s">
        <v>226</v>
      </c>
    </row>
    <row r="18" spans="3:18" ht="14.45" x14ac:dyDescent="0.25">
      <c r="C18">
        <v>2012</v>
      </c>
      <c r="D18">
        <v>8.2100000000000009</v>
      </c>
    </row>
    <row r="20" spans="3:18" x14ac:dyDescent="0.25">
      <c r="I20" s="44" t="s">
        <v>225</v>
      </c>
      <c r="J20" s="44"/>
      <c r="K20" s="44"/>
      <c r="L20" s="44"/>
      <c r="M20" s="44"/>
      <c r="N20" s="44"/>
      <c r="O20" s="44"/>
      <c r="P20" s="44"/>
      <c r="Q20" s="44"/>
      <c r="R20" s="44"/>
    </row>
    <row r="21" spans="3:18" x14ac:dyDescent="0.25">
      <c r="C21" t="s">
        <v>224</v>
      </c>
    </row>
    <row r="22" spans="3:18" x14ac:dyDescent="0.25">
      <c r="C22" t="s">
        <v>134</v>
      </c>
      <c r="E22">
        <f>1.1+0.2+0.05</f>
        <v>1.35</v>
      </c>
      <c r="F22" t="s">
        <v>223</v>
      </c>
    </row>
    <row r="24" spans="3:18" x14ac:dyDescent="0.25">
      <c r="C24" t="s">
        <v>222</v>
      </c>
    </row>
    <row r="25" spans="3:18" x14ac:dyDescent="0.25">
      <c r="E25" t="s">
        <v>221</v>
      </c>
    </row>
    <row r="33" spans="3:12" x14ac:dyDescent="0.25">
      <c r="C33" s="61" t="s">
        <v>220</v>
      </c>
    </row>
    <row r="34" spans="3:12" x14ac:dyDescent="0.25">
      <c r="C34" t="s">
        <v>219</v>
      </c>
      <c r="D34" t="s">
        <v>218</v>
      </c>
      <c r="I34" s="60">
        <f>10.5+10.5</f>
        <v>21</v>
      </c>
      <c r="J34" t="s">
        <v>217</v>
      </c>
    </row>
    <row r="36" spans="3:12" x14ac:dyDescent="0.25">
      <c r="C36" t="s">
        <v>216</v>
      </c>
    </row>
    <row r="37" spans="3:12" x14ac:dyDescent="0.25">
      <c r="C37">
        <v>2010</v>
      </c>
      <c r="D37" s="59">
        <v>17.260000000000002</v>
      </c>
      <c r="I37" t="s">
        <v>215</v>
      </c>
    </row>
    <row r="38" spans="3:12" x14ac:dyDescent="0.25">
      <c r="C38">
        <v>2011</v>
      </c>
      <c r="D38" s="59">
        <v>13.95</v>
      </c>
      <c r="E38" t="s">
        <v>214</v>
      </c>
    </row>
    <row r="39" spans="3:12" x14ac:dyDescent="0.25">
      <c r="C39">
        <v>2012</v>
      </c>
      <c r="D39">
        <v>16.600000000000001</v>
      </c>
    </row>
    <row r="40" spans="3:12" x14ac:dyDescent="0.25">
      <c r="C40">
        <v>2013</v>
      </c>
      <c r="D40" s="58">
        <v>17.100000000000001</v>
      </c>
      <c r="E40" t="s">
        <v>213</v>
      </c>
    </row>
    <row r="41" spans="3:12" x14ac:dyDescent="0.25">
      <c r="C41">
        <v>2015</v>
      </c>
      <c r="D41" s="58">
        <v>16.600000000000001</v>
      </c>
    </row>
    <row r="42" spans="3:12" x14ac:dyDescent="0.25">
      <c r="C42" t="s">
        <v>212</v>
      </c>
      <c r="F42">
        <v>0</v>
      </c>
      <c r="G42" t="s">
        <v>134</v>
      </c>
    </row>
    <row r="43" spans="3:12" x14ac:dyDescent="0.25">
      <c r="C43" t="s">
        <v>211</v>
      </c>
      <c r="F43" t="s">
        <v>395</v>
      </c>
      <c r="I43" s="44" t="s">
        <v>210</v>
      </c>
      <c r="J43" s="44" t="s">
        <v>209</v>
      </c>
      <c r="K43" s="44"/>
      <c r="L43" s="44"/>
    </row>
    <row r="44" spans="3:12" x14ac:dyDescent="0.25">
      <c r="C44" t="s">
        <v>396</v>
      </c>
      <c r="I44" s="44"/>
      <c r="J44" s="44" t="s">
        <v>208</v>
      </c>
      <c r="K44" s="44"/>
      <c r="L44" s="44"/>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A57"/>
  <sheetViews>
    <sheetView zoomScale="80" zoomScaleNormal="80" workbookViewId="0"/>
  </sheetViews>
  <sheetFormatPr defaultRowHeight="15" x14ac:dyDescent="0.25"/>
  <cols>
    <col min="1" max="1" width="63.7109375" customWidth="1"/>
    <col min="2" max="2" width="73.42578125" customWidth="1"/>
    <col min="3" max="3" width="44.42578125" style="1" customWidth="1"/>
    <col min="5" max="5" width="9.14062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151</v>
      </c>
      <c r="B1" s="45"/>
      <c r="D1" s="386"/>
      <c r="E1" s="387"/>
      <c r="F1" s="387"/>
      <c r="G1" s="387"/>
      <c r="H1" s="388"/>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row>
    <row r="8" spans="1:27" ht="60" customHeight="1" x14ac:dyDescent="0.25">
      <c r="A8" s="3" t="s">
        <v>2</v>
      </c>
      <c r="B8" s="79"/>
      <c r="E8" s="352" t="s">
        <v>100</v>
      </c>
      <c r="F8" s="352"/>
      <c r="G8" s="352"/>
      <c r="H8" s="352"/>
      <c r="I8" s="352"/>
    </row>
    <row r="9" spans="1:27" ht="15.75" thickBot="1" x14ac:dyDescent="0.3">
      <c r="A9" s="3" t="s">
        <v>1</v>
      </c>
      <c r="B9" s="3"/>
      <c r="C9" s="1" t="s">
        <v>48</v>
      </c>
      <c r="E9" s="353" t="s">
        <v>53</v>
      </c>
      <c r="F9" s="354"/>
      <c r="G9" s="354"/>
      <c r="H9" s="355"/>
      <c r="I9" s="3">
        <f>B14</f>
        <v>0</v>
      </c>
      <c r="J9" t="s">
        <v>74</v>
      </c>
      <c r="P9" s="36" t="s">
        <v>76</v>
      </c>
      <c r="Q9" s="36"/>
      <c r="R9" s="36"/>
      <c r="S9" s="36"/>
      <c r="T9" s="36"/>
      <c r="U9" s="36"/>
      <c r="V9" s="36"/>
      <c r="W9" s="36"/>
      <c r="X9" s="36"/>
      <c r="Y9" s="36"/>
      <c r="Z9" s="36"/>
      <c r="AA9" s="36"/>
    </row>
    <row r="10" spans="1:27" ht="48" customHeight="1" thickBot="1" x14ac:dyDescent="0.3">
      <c r="A10" s="3" t="s">
        <v>4</v>
      </c>
      <c r="B10" s="3"/>
      <c r="C10" s="1" t="s">
        <v>3</v>
      </c>
      <c r="E10" s="30" t="s">
        <v>75</v>
      </c>
      <c r="F10" s="31" t="s">
        <v>147</v>
      </c>
      <c r="G10" s="31" t="s">
        <v>146</v>
      </c>
      <c r="H10" s="31" t="s">
        <v>90</v>
      </c>
      <c r="I10" s="31" t="s">
        <v>144</v>
      </c>
      <c r="J10" s="344" t="s">
        <v>92</v>
      </c>
      <c r="K10" s="345"/>
      <c r="L10" s="345"/>
      <c r="M10" s="345"/>
      <c r="N10" s="345"/>
      <c r="P10" s="36" t="s">
        <v>77</v>
      </c>
      <c r="Q10" s="41">
        <v>0.9</v>
      </c>
      <c r="R10" s="39">
        <v>0.8</v>
      </c>
      <c r="S10" s="39">
        <v>0.7</v>
      </c>
      <c r="T10" s="40">
        <v>0.6</v>
      </c>
      <c r="U10" s="41">
        <v>0.5</v>
      </c>
      <c r="V10" s="39">
        <v>0.4</v>
      </c>
      <c r="W10" s="39">
        <v>0.3</v>
      </c>
      <c r="X10" s="39">
        <v>0.2</v>
      </c>
      <c r="Y10" s="39">
        <v>0.1</v>
      </c>
      <c r="Z10" s="39">
        <v>0.05</v>
      </c>
      <c r="AA10" s="38">
        <v>18537</v>
      </c>
    </row>
    <row r="11" spans="1:27" ht="19.5" customHeight="1" x14ac:dyDescent="0.25">
      <c r="A11" s="7" t="s">
        <v>49</v>
      </c>
      <c r="B11" s="7"/>
      <c r="E11" s="26">
        <v>2012</v>
      </c>
      <c r="F11" s="26"/>
      <c r="G11" s="26"/>
      <c r="H11" s="26"/>
      <c r="I11" s="3"/>
      <c r="J11" s="344"/>
      <c r="K11" s="345"/>
      <c r="L11" s="345"/>
      <c r="M11" s="345"/>
      <c r="N11" s="345"/>
      <c r="P11" s="36">
        <v>2011</v>
      </c>
      <c r="Q11" s="36">
        <v>1030</v>
      </c>
      <c r="R11" s="36">
        <v>1035</v>
      </c>
      <c r="S11" s="36">
        <v>1040</v>
      </c>
      <c r="T11" s="36">
        <v>1050</v>
      </c>
      <c r="U11" s="36">
        <v>1070</v>
      </c>
      <c r="V11" s="36">
        <v>1075</v>
      </c>
      <c r="W11" s="36">
        <v>1090</v>
      </c>
      <c r="X11" s="36">
        <v>1095</v>
      </c>
      <c r="Y11" s="36">
        <v>1110</v>
      </c>
      <c r="Z11" s="36">
        <v>1110</v>
      </c>
      <c r="AA11" s="36">
        <v>1.0373829999999999</v>
      </c>
    </row>
    <row r="12" spans="1:27" ht="15" customHeight="1" x14ac:dyDescent="0.25">
      <c r="A12" s="7" t="s">
        <v>50</v>
      </c>
      <c r="B12" s="7"/>
      <c r="E12" s="26">
        <v>2013</v>
      </c>
      <c r="F12" s="26"/>
      <c r="G12" s="26"/>
      <c r="H12" s="26"/>
      <c r="I12" s="3"/>
      <c r="J12" s="344" t="s">
        <v>91</v>
      </c>
      <c r="K12" s="345"/>
      <c r="L12" s="345"/>
      <c r="M12" s="345"/>
      <c r="N12" s="345"/>
      <c r="P12" s="36">
        <v>2012</v>
      </c>
      <c r="Q12" s="36">
        <v>1050</v>
      </c>
      <c r="R12" s="36">
        <v>1055</v>
      </c>
      <c r="S12" s="36">
        <v>1060</v>
      </c>
      <c r="T12" s="36">
        <v>1070</v>
      </c>
      <c r="U12" s="36">
        <v>1090</v>
      </c>
      <c r="V12" s="36">
        <v>1095</v>
      </c>
      <c r="W12" s="36">
        <v>1115</v>
      </c>
      <c r="X12" s="36">
        <v>1120</v>
      </c>
      <c r="Y12" s="36">
        <v>1125</v>
      </c>
      <c r="Z12" s="36">
        <v>1135</v>
      </c>
      <c r="AA12" s="36">
        <v>1.0321100000000001</v>
      </c>
    </row>
    <row r="13" spans="1:27" x14ac:dyDescent="0.25">
      <c r="A13" s="7" t="s">
        <v>51</v>
      </c>
      <c r="B13" s="7"/>
      <c r="C13" s="1" t="s">
        <v>52</v>
      </c>
      <c r="E13" s="26">
        <v>2014</v>
      </c>
      <c r="F13" s="26"/>
      <c r="G13" s="26"/>
      <c r="H13" s="26"/>
      <c r="I13" s="3"/>
      <c r="J13" s="344"/>
      <c r="K13" s="345"/>
      <c r="L13" s="345"/>
      <c r="M13" s="345"/>
      <c r="N13" s="345"/>
      <c r="P13" s="36">
        <v>2013</v>
      </c>
      <c r="Q13" s="36">
        <v>1065</v>
      </c>
      <c r="R13" s="36">
        <v>1070</v>
      </c>
      <c r="S13" s="36">
        <v>1075</v>
      </c>
      <c r="T13" s="36">
        <v>1085</v>
      </c>
      <c r="U13" s="36">
        <v>1105</v>
      </c>
      <c r="V13" s="36">
        <v>1110</v>
      </c>
      <c r="W13" s="36">
        <v>1130</v>
      </c>
      <c r="X13" s="36">
        <v>1135</v>
      </c>
      <c r="Y13" s="36">
        <v>1150</v>
      </c>
      <c r="Z13" s="36">
        <v>1150</v>
      </c>
      <c r="AA13" s="36">
        <v>1.040724</v>
      </c>
    </row>
    <row r="14" spans="1:27" ht="21.75" customHeight="1" x14ac:dyDescent="0.25">
      <c r="A14" s="7" t="s">
        <v>53</v>
      </c>
      <c r="B14" s="18"/>
      <c r="E14" s="26">
        <v>2015</v>
      </c>
      <c r="F14" s="26"/>
      <c r="G14" s="26"/>
      <c r="H14" s="26"/>
      <c r="I14" s="3"/>
      <c r="J14" s="344"/>
      <c r="K14" s="345"/>
      <c r="L14" s="345"/>
      <c r="M14" s="345"/>
      <c r="N14" s="345"/>
      <c r="P14" s="36">
        <v>2014</v>
      </c>
      <c r="Q14" s="36">
        <v>1080</v>
      </c>
      <c r="R14" s="36">
        <v>1085</v>
      </c>
      <c r="S14" s="36">
        <v>1090</v>
      </c>
      <c r="T14" s="36">
        <v>1100</v>
      </c>
      <c r="U14" s="36">
        <v>1120</v>
      </c>
      <c r="V14" s="36">
        <v>1125</v>
      </c>
      <c r="W14" s="36">
        <v>1145</v>
      </c>
      <c r="X14" s="36">
        <v>1150</v>
      </c>
      <c r="Y14" s="36">
        <v>1165</v>
      </c>
      <c r="Z14" s="36">
        <v>1170</v>
      </c>
      <c r="AA14" s="36">
        <v>1.040179</v>
      </c>
    </row>
    <row r="15" spans="1:27" x14ac:dyDescent="0.25">
      <c r="A15" s="80" t="s">
        <v>41</v>
      </c>
      <c r="B15" s="358" t="s">
        <v>97</v>
      </c>
      <c r="E15" s="26">
        <v>2016</v>
      </c>
      <c r="F15" s="26"/>
      <c r="G15" s="26"/>
      <c r="H15" s="26"/>
      <c r="I15" s="3"/>
      <c r="J15" s="344"/>
      <c r="K15" s="345"/>
      <c r="L15" s="345"/>
      <c r="M15" s="345"/>
      <c r="N15" s="345"/>
      <c r="P15" s="36">
        <v>2015</v>
      </c>
      <c r="Q15" s="36">
        <v>1095</v>
      </c>
      <c r="R15" s="36">
        <v>1100</v>
      </c>
      <c r="S15" s="36">
        <v>1105</v>
      </c>
      <c r="T15" s="36">
        <v>1115</v>
      </c>
      <c r="U15" s="36">
        <v>1135</v>
      </c>
      <c r="V15" s="36">
        <v>1140</v>
      </c>
      <c r="W15" s="36">
        <v>1160</v>
      </c>
      <c r="X15" s="36">
        <v>1165</v>
      </c>
      <c r="Y15" s="36">
        <v>1170</v>
      </c>
      <c r="Z15" s="36">
        <v>1180</v>
      </c>
      <c r="AA15" s="36">
        <v>1.030837</v>
      </c>
    </row>
    <row r="16" spans="1:27" ht="60.75" customHeight="1" x14ac:dyDescent="0.25">
      <c r="A16" s="80" t="s">
        <v>7</v>
      </c>
      <c r="B16" s="359"/>
      <c r="C16" s="1" t="s">
        <v>21</v>
      </c>
      <c r="E16" s="26">
        <v>2017</v>
      </c>
      <c r="F16" s="26"/>
      <c r="G16" s="26"/>
      <c r="H16" s="26"/>
      <c r="I16" s="3"/>
      <c r="J16" s="356"/>
      <c r="K16" s="357"/>
      <c r="L16" s="357"/>
      <c r="M16" s="357"/>
      <c r="N16" s="357"/>
      <c r="P16" s="36">
        <v>2016</v>
      </c>
      <c r="Q16" s="36">
        <v>1105</v>
      </c>
      <c r="R16" s="36">
        <v>1110</v>
      </c>
      <c r="S16" s="36">
        <v>1115</v>
      </c>
      <c r="T16" s="36">
        <v>1125</v>
      </c>
      <c r="U16" s="36">
        <v>1145</v>
      </c>
      <c r="V16" s="36">
        <v>1150</v>
      </c>
      <c r="W16" s="36">
        <v>1170</v>
      </c>
      <c r="X16" s="36">
        <v>1175</v>
      </c>
      <c r="Y16" s="36">
        <v>1190</v>
      </c>
      <c r="Z16" s="36">
        <v>1195</v>
      </c>
      <c r="AA16" s="36">
        <v>1.039301</v>
      </c>
    </row>
    <row r="17" spans="1:27" x14ac:dyDescent="0.25">
      <c r="A17" s="81" t="s">
        <v>72</v>
      </c>
      <c r="B17" s="81"/>
      <c r="C17" s="1" t="s">
        <v>73</v>
      </c>
      <c r="E17" s="26">
        <v>2018</v>
      </c>
      <c r="F17" s="26"/>
      <c r="G17" s="26"/>
      <c r="H17" s="26"/>
      <c r="I17" s="3"/>
      <c r="J17" s="27" t="s">
        <v>89</v>
      </c>
      <c r="K17" s="28"/>
      <c r="L17" s="28"/>
      <c r="M17" s="28"/>
      <c r="N17" s="29"/>
      <c r="P17" s="36">
        <v>2017</v>
      </c>
      <c r="Q17" s="36">
        <v>1115</v>
      </c>
      <c r="R17" s="36">
        <v>1120</v>
      </c>
      <c r="S17" s="36">
        <v>1125</v>
      </c>
      <c r="T17" s="36">
        <v>1135</v>
      </c>
      <c r="U17" s="36">
        <v>1155</v>
      </c>
      <c r="V17" s="36">
        <v>1160</v>
      </c>
      <c r="W17" s="36">
        <v>1180</v>
      </c>
      <c r="X17" s="36">
        <v>1185</v>
      </c>
      <c r="Y17" s="36">
        <v>1195</v>
      </c>
      <c r="Z17" s="36">
        <v>1205</v>
      </c>
      <c r="AA17" s="36">
        <v>1.034632</v>
      </c>
    </row>
    <row r="18" spans="1:27" x14ac:dyDescent="0.25">
      <c r="A18" s="81" t="s">
        <v>68</v>
      </c>
      <c r="B18" s="82"/>
      <c r="C18" s="1" t="s">
        <v>69</v>
      </c>
      <c r="E18" s="26">
        <v>2019</v>
      </c>
      <c r="F18" s="26"/>
      <c r="G18" s="26"/>
      <c r="H18" s="26"/>
      <c r="I18" s="3"/>
      <c r="J18" s="335"/>
      <c r="K18" s="336"/>
      <c r="L18" s="336"/>
      <c r="M18" s="336"/>
      <c r="N18" s="337"/>
      <c r="P18" s="36">
        <v>2018</v>
      </c>
      <c r="Q18" s="36">
        <v>1125</v>
      </c>
      <c r="R18" s="36">
        <v>1130</v>
      </c>
      <c r="S18" s="36">
        <v>1140</v>
      </c>
      <c r="T18" s="36">
        <v>1150</v>
      </c>
      <c r="U18" s="36">
        <v>1170</v>
      </c>
      <c r="V18" s="36">
        <v>1175</v>
      </c>
      <c r="W18" s="36">
        <v>1195</v>
      </c>
      <c r="X18" s="36">
        <v>1200</v>
      </c>
      <c r="Y18" s="36">
        <v>1215</v>
      </c>
      <c r="Z18" s="36">
        <v>1215</v>
      </c>
      <c r="AA18" s="36">
        <v>1.038462</v>
      </c>
    </row>
    <row r="19" spans="1:27" ht="21" customHeight="1" x14ac:dyDescent="0.25">
      <c r="A19" s="81" t="s">
        <v>67</v>
      </c>
      <c r="B19" s="81"/>
      <c r="C19" s="1" t="s">
        <v>70</v>
      </c>
      <c r="E19" s="26">
        <v>2020</v>
      </c>
      <c r="F19" s="26"/>
      <c r="G19" s="26"/>
      <c r="H19" s="26"/>
      <c r="I19" s="3"/>
      <c r="J19" s="338"/>
      <c r="K19" s="339"/>
      <c r="L19" s="339"/>
      <c r="M19" s="339"/>
      <c r="N19" s="340"/>
      <c r="P19" s="36">
        <v>2019</v>
      </c>
      <c r="Q19" s="36">
        <v>1135</v>
      </c>
      <c r="R19" s="36">
        <v>1140</v>
      </c>
      <c r="S19" s="36">
        <v>1150</v>
      </c>
      <c r="T19" s="36">
        <v>1160</v>
      </c>
      <c r="U19" s="36">
        <v>1180</v>
      </c>
      <c r="V19" s="36">
        <v>1185</v>
      </c>
      <c r="W19" s="36">
        <v>1205</v>
      </c>
      <c r="X19" s="36">
        <v>1210</v>
      </c>
      <c r="Y19" s="36">
        <v>1225</v>
      </c>
      <c r="Z19" s="36">
        <v>1230</v>
      </c>
      <c r="AA19" s="36">
        <v>1.0381359999999999</v>
      </c>
    </row>
    <row r="20" spans="1:27" ht="48.75" customHeight="1" x14ac:dyDescent="0.25">
      <c r="A20" s="3" t="s">
        <v>98</v>
      </c>
      <c r="B20" s="83" t="s">
        <v>99</v>
      </c>
      <c r="C20" s="1" t="s">
        <v>58</v>
      </c>
      <c r="E20" s="26">
        <v>2021</v>
      </c>
      <c r="F20" s="26"/>
      <c r="G20" s="26"/>
      <c r="H20" s="26"/>
      <c r="I20" s="3"/>
      <c r="J20" s="341"/>
      <c r="K20" s="342"/>
      <c r="L20" s="342"/>
      <c r="M20" s="342"/>
      <c r="N20" s="343"/>
      <c r="P20" s="36">
        <v>2020</v>
      </c>
      <c r="Q20" s="36">
        <v>1145</v>
      </c>
      <c r="R20" s="36">
        <v>1150</v>
      </c>
      <c r="S20" s="36">
        <v>1155</v>
      </c>
      <c r="T20" s="36">
        <v>1170</v>
      </c>
      <c r="U20" s="36">
        <v>1190</v>
      </c>
      <c r="V20" s="36">
        <v>1195</v>
      </c>
      <c r="W20" s="36">
        <v>1215</v>
      </c>
      <c r="X20" s="36">
        <v>1225</v>
      </c>
      <c r="Y20" s="36">
        <v>1235</v>
      </c>
      <c r="Z20" s="36">
        <v>1240</v>
      </c>
      <c r="AA20" s="36">
        <v>1.0378149999999999</v>
      </c>
    </row>
    <row r="21" spans="1:27" x14ac:dyDescent="0.25">
      <c r="A21" s="3" t="s">
        <v>5</v>
      </c>
      <c r="B21" s="16"/>
      <c r="C21" s="1" t="s">
        <v>6</v>
      </c>
      <c r="E21" s="26">
        <v>2022</v>
      </c>
      <c r="F21" s="26"/>
      <c r="G21" s="26"/>
      <c r="H21" s="26"/>
      <c r="I21" s="3"/>
      <c r="P21" s="36" t="s">
        <v>78</v>
      </c>
      <c r="Q21" s="36"/>
      <c r="R21" s="36"/>
      <c r="S21" s="36"/>
      <c r="T21" s="36"/>
      <c r="U21" s="36"/>
      <c r="V21" s="36"/>
      <c r="W21" s="36"/>
      <c r="X21" s="36"/>
      <c r="Y21" s="36"/>
      <c r="Z21" s="36"/>
      <c r="AA21" s="36"/>
    </row>
    <row r="22" spans="1:27" ht="34.5" customHeight="1" x14ac:dyDescent="0.25">
      <c r="A22" s="3" t="s">
        <v>55</v>
      </c>
      <c r="B22" s="17"/>
      <c r="C22" s="1" t="s">
        <v>54</v>
      </c>
      <c r="E22" s="26">
        <v>2023</v>
      </c>
      <c r="F22" s="26"/>
      <c r="G22" s="26"/>
      <c r="H22" s="26"/>
      <c r="I22" s="3"/>
      <c r="J22" s="344" t="s">
        <v>96</v>
      </c>
      <c r="K22" s="345"/>
      <c r="L22" s="345"/>
      <c r="M22" s="345"/>
      <c r="N22" s="345"/>
      <c r="P22" s="36" t="s">
        <v>79</v>
      </c>
      <c r="Q22" s="36">
        <v>1030</v>
      </c>
      <c r="R22" s="36">
        <v>1035</v>
      </c>
      <c r="S22" s="36">
        <v>1035</v>
      </c>
      <c r="T22" s="36">
        <v>1035</v>
      </c>
      <c r="U22" s="36">
        <v>1045</v>
      </c>
      <c r="V22" s="36">
        <v>1050</v>
      </c>
      <c r="W22" s="36">
        <v>1055</v>
      </c>
      <c r="X22" s="36">
        <v>1055</v>
      </c>
      <c r="Y22" s="36">
        <v>1060</v>
      </c>
      <c r="Z22" s="36">
        <v>1070</v>
      </c>
      <c r="AA22" s="36">
        <v>1.014354</v>
      </c>
    </row>
    <row r="23" spans="1:27" ht="30.75" customHeight="1" x14ac:dyDescent="0.25">
      <c r="A23" s="3" t="s">
        <v>56</v>
      </c>
      <c r="B23" s="16"/>
      <c r="C23" s="1" t="s">
        <v>57</v>
      </c>
      <c r="E23" s="26">
        <v>2024</v>
      </c>
      <c r="F23" s="26"/>
      <c r="G23" s="26"/>
      <c r="H23" s="26"/>
      <c r="I23" s="3"/>
      <c r="J23" s="344"/>
      <c r="K23" s="345"/>
      <c r="L23" s="345"/>
      <c r="M23" s="345"/>
      <c r="N23" s="345"/>
      <c r="P23" s="36" t="s">
        <v>80</v>
      </c>
      <c r="Q23" s="36">
        <v>1040</v>
      </c>
      <c r="R23" s="36">
        <v>1045</v>
      </c>
      <c r="S23" s="36">
        <v>1045</v>
      </c>
      <c r="T23" s="36">
        <v>1045</v>
      </c>
      <c r="U23" s="36">
        <v>1055</v>
      </c>
      <c r="V23" s="36">
        <v>1060</v>
      </c>
      <c r="W23" s="36">
        <v>1065</v>
      </c>
      <c r="X23" s="36">
        <v>1065</v>
      </c>
      <c r="Y23" s="36">
        <v>1070</v>
      </c>
      <c r="Z23" s="36">
        <v>1080</v>
      </c>
      <c r="AA23" s="36">
        <v>1.0142180000000001</v>
      </c>
    </row>
    <row r="24" spans="1:27" x14ac:dyDescent="0.25">
      <c r="A24" s="12"/>
      <c r="B24" s="13"/>
      <c r="E24" s="26">
        <v>2025</v>
      </c>
      <c r="F24" s="26"/>
      <c r="G24" s="26"/>
      <c r="H24" s="26"/>
      <c r="I24" s="3"/>
      <c r="J24" s="344"/>
      <c r="K24" s="345"/>
      <c r="L24" s="345"/>
      <c r="M24" s="345"/>
      <c r="N24" s="345"/>
      <c r="P24" s="36" t="s">
        <v>81</v>
      </c>
      <c r="Q24" s="36">
        <v>1050</v>
      </c>
      <c r="R24" s="36">
        <v>1055</v>
      </c>
      <c r="S24" s="36">
        <v>1055</v>
      </c>
      <c r="T24" s="36">
        <v>1055</v>
      </c>
      <c r="U24" s="36">
        <v>1065</v>
      </c>
      <c r="V24" s="36">
        <v>1070</v>
      </c>
      <c r="W24" s="36">
        <v>1075</v>
      </c>
      <c r="X24" s="36">
        <v>1075</v>
      </c>
      <c r="Y24" s="36">
        <v>1080</v>
      </c>
      <c r="Z24" s="36">
        <v>1095</v>
      </c>
      <c r="AA24" s="36">
        <v>1.0140849999999999</v>
      </c>
    </row>
    <row r="25" spans="1:27" x14ac:dyDescent="0.25">
      <c r="A25" s="346" t="s">
        <v>71</v>
      </c>
      <c r="B25" s="346"/>
      <c r="E25" s="26">
        <v>2026</v>
      </c>
      <c r="F25" s="26"/>
      <c r="G25" s="26"/>
      <c r="H25" s="26"/>
      <c r="I25" s="3"/>
      <c r="P25" s="36" t="s">
        <v>82</v>
      </c>
      <c r="Q25" s="36">
        <v>1055</v>
      </c>
      <c r="R25" s="36">
        <v>1060</v>
      </c>
      <c r="S25" s="36">
        <v>1060</v>
      </c>
      <c r="T25" s="36">
        <v>1060</v>
      </c>
      <c r="U25" s="36">
        <v>1070</v>
      </c>
      <c r="V25" s="36">
        <v>1075</v>
      </c>
      <c r="W25" s="36">
        <v>1080</v>
      </c>
      <c r="X25" s="36">
        <v>1080</v>
      </c>
      <c r="Y25" s="36">
        <v>1085</v>
      </c>
      <c r="Z25" s="36">
        <v>1095</v>
      </c>
      <c r="AA25" s="36">
        <v>1.014019</v>
      </c>
    </row>
    <row r="26" spans="1:27" x14ac:dyDescent="0.25">
      <c r="A26" s="3" t="s">
        <v>28</v>
      </c>
      <c r="B26" s="3"/>
      <c r="E26" s="26">
        <v>2027</v>
      </c>
      <c r="F26" s="26"/>
      <c r="G26" s="26"/>
      <c r="H26" s="26"/>
      <c r="I26" s="3"/>
      <c r="P26" s="36" t="s">
        <v>83</v>
      </c>
      <c r="Q26" s="36">
        <v>1060</v>
      </c>
      <c r="R26" s="36">
        <v>1065</v>
      </c>
      <c r="S26" s="36">
        <v>1065</v>
      </c>
      <c r="T26" s="36">
        <v>1065</v>
      </c>
      <c r="U26" s="36">
        <v>1075</v>
      </c>
      <c r="V26" s="36">
        <v>1080</v>
      </c>
      <c r="W26" s="36">
        <v>1085</v>
      </c>
      <c r="X26" s="36">
        <v>1085</v>
      </c>
      <c r="Y26" s="36">
        <v>1090</v>
      </c>
      <c r="Z26" s="36">
        <v>1110</v>
      </c>
      <c r="AA26" s="36">
        <v>1.0139530000000001</v>
      </c>
    </row>
    <row r="27" spans="1:27" x14ac:dyDescent="0.25">
      <c r="A27" s="3" t="s">
        <v>29</v>
      </c>
      <c r="B27" s="3"/>
      <c r="E27" s="26">
        <v>2028</v>
      </c>
      <c r="F27" s="26"/>
      <c r="G27" s="26"/>
      <c r="H27" s="26"/>
      <c r="I27" s="3"/>
      <c r="P27" s="36" t="s">
        <v>84</v>
      </c>
      <c r="Q27" s="36">
        <v>1065</v>
      </c>
      <c r="R27" s="36">
        <v>1070</v>
      </c>
      <c r="S27" s="36">
        <v>1070</v>
      </c>
      <c r="T27" s="36">
        <v>1070</v>
      </c>
      <c r="U27" s="36">
        <v>1080</v>
      </c>
      <c r="V27" s="36">
        <v>1085</v>
      </c>
      <c r="W27" s="36">
        <v>1090</v>
      </c>
      <c r="X27" s="36">
        <v>1090</v>
      </c>
      <c r="Y27" s="36">
        <v>1100</v>
      </c>
      <c r="Z27" s="36">
        <v>1110</v>
      </c>
      <c r="AA27" s="36">
        <v>1.018519</v>
      </c>
    </row>
    <row r="28" spans="1:27" ht="39.75" customHeight="1" x14ac:dyDescent="0.25">
      <c r="A28" s="3" t="s">
        <v>30</v>
      </c>
      <c r="B28" s="17"/>
      <c r="C28" s="1" t="s">
        <v>43</v>
      </c>
      <c r="E28" s="26">
        <v>2029</v>
      </c>
      <c r="F28" s="26"/>
      <c r="G28" s="26"/>
      <c r="H28" s="26"/>
      <c r="I28" s="3"/>
      <c r="P28" s="36" t="s">
        <v>85</v>
      </c>
      <c r="Q28" s="36">
        <v>1075</v>
      </c>
      <c r="R28" s="36">
        <v>1080</v>
      </c>
      <c r="S28" s="36">
        <v>1080</v>
      </c>
      <c r="T28" s="36">
        <v>1080</v>
      </c>
      <c r="U28" s="36">
        <v>1090</v>
      </c>
      <c r="V28" s="36">
        <v>1095</v>
      </c>
      <c r="W28" s="36">
        <v>1100</v>
      </c>
      <c r="X28" s="36">
        <v>1100</v>
      </c>
      <c r="Y28" s="36">
        <v>1105</v>
      </c>
      <c r="Z28" s="36">
        <v>1120</v>
      </c>
      <c r="AA28" s="36">
        <v>1.0137609999999999</v>
      </c>
    </row>
    <row r="29" spans="1:27" x14ac:dyDescent="0.25">
      <c r="A29" s="3" t="s">
        <v>44</v>
      </c>
      <c r="B29" s="3"/>
      <c r="E29" s="26">
        <v>2030</v>
      </c>
      <c r="F29" s="26"/>
      <c r="G29" s="26"/>
      <c r="H29" s="26"/>
      <c r="I29" s="3"/>
      <c r="P29" s="36" t="s">
        <v>86</v>
      </c>
      <c r="Q29" s="36">
        <v>1080</v>
      </c>
      <c r="R29" s="36">
        <v>1085</v>
      </c>
      <c r="S29" s="36">
        <v>1085</v>
      </c>
      <c r="T29" s="36">
        <v>1085</v>
      </c>
      <c r="U29" s="36">
        <v>1095</v>
      </c>
      <c r="V29" s="36">
        <v>1100</v>
      </c>
      <c r="W29" s="36">
        <v>1105</v>
      </c>
      <c r="X29" s="36">
        <v>1105</v>
      </c>
      <c r="Y29" s="36">
        <v>1110</v>
      </c>
      <c r="Z29" s="36">
        <v>1120</v>
      </c>
      <c r="AA29" s="36">
        <v>1.0136989999999999</v>
      </c>
    </row>
    <row r="30" spans="1:27" x14ac:dyDescent="0.25">
      <c r="A30" s="3" t="s">
        <v>47</v>
      </c>
      <c r="B30" s="3"/>
      <c r="E30" s="26">
        <v>2031</v>
      </c>
      <c r="F30" s="26"/>
      <c r="G30" s="26"/>
      <c r="H30" s="26"/>
      <c r="I30" s="3"/>
      <c r="P30" s="36" t="s">
        <v>87</v>
      </c>
      <c r="Q30" s="36">
        <v>1085</v>
      </c>
      <c r="R30" s="36">
        <v>1090</v>
      </c>
      <c r="S30" s="36">
        <v>1090</v>
      </c>
      <c r="T30" s="36">
        <v>1090</v>
      </c>
      <c r="U30" s="36">
        <v>1100</v>
      </c>
      <c r="V30" s="36">
        <v>1105</v>
      </c>
      <c r="W30" s="36">
        <v>1110</v>
      </c>
      <c r="X30" s="36">
        <v>1110</v>
      </c>
      <c r="Y30" s="36">
        <v>1115</v>
      </c>
      <c r="Z30" s="36">
        <v>1125</v>
      </c>
      <c r="AA30" s="36">
        <v>1.013636</v>
      </c>
    </row>
    <row r="31" spans="1:27" x14ac:dyDescent="0.25">
      <c r="A31" s="3" t="s">
        <v>45</v>
      </c>
      <c r="B31" s="3"/>
      <c r="P31" s="36" t="s">
        <v>88</v>
      </c>
      <c r="Q31" s="36">
        <v>1090</v>
      </c>
      <c r="R31" s="36">
        <v>1095</v>
      </c>
      <c r="S31" s="36">
        <v>1095</v>
      </c>
      <c r="T31" s="36">
        <v>1095</v>
      </c>
      <c r="U31" s="36">
        <v>1105</v>
      </c>
      <c r="V31" s="36">
        <v>1110</v>
      </c>
      <c r="W31" s="36">
        <v>1115</v>
      </c>
      <c r="X31" s="36">
        <v>1115</v>
      </c>
      <c r="Y31" s="36">
        <v>1120</v>
      </c>
      <c r="Z31" s="36">
        <v>1130</v>
      </c>
      <c r="AA31" s="36">
        <v>1.0135749999999999</v>
      </c>
    </row>
    <row r="32" spans="1:27" x14ac:dyDescent="0.25">
      <c r="A32" s="3" t="s">
        <v>46</v>
      </c>
      <c r="B32" s="3"/>
    </row>
    <row r="33" spans="1:1" ht="16.5" customHeight="1" x14ac:dyDescent="0.25">
      <c r="A33" s="84"/>
    </row>
    <row r="56" customFormat="1" x14ac:dyDescent="0.25"/>
    <row r="57" customFormat="1" x14ac:dyDescent="0.25"/>
  </sheetData>
  <mergeCells count="10">
    <mergeCell ref="J22:N24"/>
    <mergeCell ref="E8:I8"/>
    <mergeCell ref="J10:N11"/>
    <mergeCell ref="J12:N16"/>
    <mergeCell ref="J18:N20"/>
    <mergeCell ref="D1:H1"/>
    <mergeCell ref="A6:B6"/>
    <mergeCell ref="A25:B25"/>
    <mergeCell ref="B15:B16"/>
    <mergeCell ref="E9:H9"/>
  </mergeCells>
  <pageMargins left="0.7" right="0.7" top="0.75" bottom="0.75" header="0.3" footer="0.3"/>
  <pageSetup scale="5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25"/>
  <sheetViews>
    <sheetView zoomScale="80" zoomScaleNormal="80" workbookViewId="0"/>
  </sheetViews>
  <sheetFormatPr defaultRowHeight="15" x14ac:dyDescent="0.25"/>
  <cols>
    <col min="1" max="1" width="49.7109375" customWidth="1"/>
    <col min="2" max="2" width="28.28515625" customWidth="1"/>
    <col min="3" max="3" width="16.42578125" customWidth="1"/>
    <col min="4" max="4" width="44.140625" customWidth="1"/>
  </cols>
  <sheetData>
    <row r="1" spans="1:4" x14ac:dyDescent="0.25">
      <c r="A1" t="s">
        <v>42</v>
      </c>
    </row>
    <row r="3" spans="1:4" x14ac:dyDescent="0.25">
      <c r="A3" s="451" t="s">
        <v>11</v>
      </c>
      <c r="B3" s="452"/>
      <c r="C3" s="453"/>
      <c r="D3" s="1"/>
    </row>
    <row r="4" spans="1:4" x14ac:dyDescent="0.25">
      <c r="A4" s="3" t="s">
        <v>12</v>
      </c>
      <c r="B4" s="3"/>
      <c r="C4" s="3"/>
      <c r="D4" s="1"/>
    </row>
    <row r="5" spans="1:4" x14ac:dyDescent="0.25">
      <c r="A5" s="3" t="s">
        <v>13</v>
      </c>
      <c r="B5" s="3"/>
      <c r="C5" s="3"/>
      <c r="D5" s="1" t="s">
        <v>66</v>
      </c>
    </row>
    <row r="6" spans="1:4" x14ac:dyDescent="0.25">
      <c r="A6" s="3" t="s">
        <v>14</v>
      </c>
      <c r="B6" s="3"/>
      <c r="C6" s="3"/>
      <c r="D6" s="1"/>
    </row>
    <row r="7" spans="1:4" x14ac:dyDescent="0.25">
      <c r="A7" s="3" t="s">
        <v>59</v>
      </c>
      <c r="B7" s="3"/>
      <c r="C7" s="3"/>
      <c r="D7" s="1" t="s">
        <v>62</v>
      </c>
    </row>
    <row r="8" spans="1:4" ht="30" x14ac:dyDescent="0.25">
      <c r="A8" s="3" t="s">
        <v>60</v>
      </c>
      <c r="B8" s="3"/>
      <c r="C8" s="3"/>
      <c r="D8" s="1" t="s">
        <v>63</v>
      </c>
    </row>
    <row r="9" spans="1:4" x14ac:dyDescent="0.25">
      <c r="A9" s="7" t="s">
        <v>61</v>
      </c>
      <c r="B9" s="3"/>
      <c r="C9" s="3"/>
      <c r="D9" s="1"/>
    </row>
    <row r="10" spans="1:4" x14ac:dyDescent="0.25">
      <c r="A10" s="3" t="s">
        <v>15</v>
      </c>
      <c r="B10" s="3"/>
      <c r="C10" s="3"/>
      <c r="D10" s="1"/>
    </row>
    <row r="11" spans="1:4" x14ac:dyDescent="0.25">
      <c r="A11" s="3" t="s">
        <v>16</v>
      </c>
      <c r="B11" s="3"/>
      <c r="C11" s="3"/>
      <c r="D11" s="1"/>
    </row>
    <row r="12" spans="1:4" x14ac:dyDescent="0.25">
      <c r="A12" s="7" t="s">
        <v>17</v>
      </c>
      <c r="B12" s="3"/>
      <c r="C12" s="3"/>
      <c r="D12" s="1"/>
    </row>
    <row r="13" spans="1:4" x14ac:dyDescent="0.25">
      <c r="A13" s="3" t="s">
        <v>32</v>
      </c>
      <c r="B13" s="3"/>
      <c r="C13" s="3"/>
      <c r="D13" s="1"/>
    </row>
    <row r="14" spans="1:4" x14ac:dyDescent="0.25">
      <c r="A14" s="3" t="s">
        <v>64</v>
      </c>
      <c r="B14" s="3"/>
      <c r="C14" s="3"/>
      <c r="D14" s="1" t="s">
        <v>65</v>
      </c>
    </row>
    <row r="15" spans="1:4" x14ac:dyDescent="0.25">
      <c r="A15" s="7" t="s">
        <v>33</v>
      </c>
      <c r="B15" s="7"/>
      <c r="C15" s="7"/>
      <c r="D15" s="1"/>
    </row>
    <row r="16" spans="1:4" x14ac:dyDescent="0.25">
      <c r="A16" s="8"/>
      <c r="B16" s="8"/>
      <c r="C16" s="8"/>
      <c r="D16" s="1"/>
    </row>
    <row r="17" spans="1:4" ht="30" x14ac:dyDescent="0.25">
      <c r="A17" s="454" t="s">
        <v>20</v>
      </c>
      <c r="B17" s="455"/>
      <c r="C17" s="456"/>
      <c r="D17" s="1" t="s">
        <v>18</v>
      </c>
    </row>
    <row r="18" spans="1:4" ht="45" x14ac:dyDescent="0.25">
      <c r="A18" s="4" t="s">
        <v>19</v>
      </c>
      <c r="B18" s="4"/>
      <c r="C18" s="4"/>
      <c r="D18" s="1" t="s">
        <v>38</v>
      </c>
    </row>
    <row r="19" spans="1:4" x14ac:dyDescent="0.25">
      <c r="A19" s="4" t="s">
        <v>34</v>
      </c>
      <c r="B19" s="4"/>
      <c r="C19" s="4"/>
      <c r="D19" s="1"/>
    </row>
    <row r="20" spans="1:4" x14ac:dyDescent="0.25">
      <c r="A20" s="4" t="s">
        <v>35</v>
      </c>
      <c r="B20" s="4"/>
      <c r="C20" s="4"/>
      <c r="D20" s="1"/>
    </row>
    <row r="21" spans="1:4" x14ac:dyDescent="0.25">
      <c r="A21" s="4" t="s">
        <v>36</v>
      </c>
      <c r="B21" s="4"/>
      <c r="C21" s="4"/>
      <c r="D21" s="1" t="s">
        <v>37</v>
      </c>
    </row>
    <row r="22" spans="1:4" x14ac:dyDescent="0.25">
      <c r="A22" s="4" t="s">
        <v>23</v>
      </c>
      <c r="B22" s="4"/>
      <c r="C22" s="4"/>
      <c r="D22" s="1"/>
    </row>
    <row r="23" spans="1:4" ht="30" x14ac:dyDescent="0.25">
      <c r="A23" s="4" t="s">
        <v>24</v>
      </c>
      <c r="B23" s="4"/>
      <c r="C23" s="4"/>
      <c r="D23" s="1" t="s">
        <v>22</v>
      </c>
    </row>
    <row r="24" spans="1:4" x14ac:dyDescent="0.25">
      <c r="A24" s="4" t="s">
        <v>26</v>
      </c>
      <c r="B24" s="4"/>
      <c r="C24" s="4"/>
      <c r="D24" s="1"/>
    </row>
    <row r="25" spans="1:4" ht="30" x14ac:dyDescent="0.25">
      <c r="A25" s="5" t="s">
        <v>25</v>
      </c>
      <c r="B25" s="6"/>
      <c r="C25" s="6"/>
      <c r="D25" s="1" t="s">
        <v>27</v>
      </c>
    </row>
  </sheetData>
  <mergeCells count="2">
    <mergeCell ref="A3:C3"/>
    <mergeCell ref="A17:C17"/>
  </mergeCell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
  <sheetViews>
    <sheetView zoomScale="145" zoomScaleNormal="145" workbookViewId="0">
      <selection activeCell="A43" sqref="A43"/>
    </sheetView>
  </sheetViews>
  <sheetFormatPr defaultRowHeight="15" x14ac:dyDescent="0.25"/>
  <cols>
    <col min="10" max="10" width="1.28515625" customWidth="1"/>
    <col min="20" max="20" width="1.85546875" customWidth="1"/>
  </cols>
  <sheetData/>
  <pageMargins left="0.7" right="0.7" top="0.75" bottom="0.75" header="0.3" footer="0.3"/>
  <pageSetup orientation="portrait" verticalDpi="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D1"/>
  <sheetViews>
    <sheetView zoomScale="85" zoomScaleNormal="85" workbookViewId="0">
      <selection activeCell="AY58" sqref="AY58"/>
    </sheetView>
  </sheetViews>
  <sheetFormatPr defaultRowHeight="15" x14ac:dyDescent="0.25"/>
  <cols>
    <col min="15" max="15" width="6.7109375" customWidth="1"/>
    <col min="29" max="29" width="8.7109375" customWidth="1"/>
    <col min="30" max="30" width="8.85546875" hidden="1" customWidth="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ED8B-57DB-46B9-BB8D-993868EA1072}">
  <sheetPr>
    <tabColor rgb="FF00B050"/>
    <pageSetUpPr fitToPage="1"/>
  </sheetPr>
  <dimension ref="A1:AA58"/>
  <sheetViews>
    <sheetView topLeftCell="A3" zoomScale="80" zoomScaleNormal="80" workbookViewId="0">
      <selection activeCell="B8" sqref="B8"/>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797</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142.15" customHeight="1" x14ac:dyDescent="0.25">
      <c r="A8" s="3" t="s">
        <v>238</v>
      </c>
      <c r="B8" s="223" t="s">
        <v>832</v>
      </c>
      <c r="E8" s="352" t="s">
        <v>100</v>
      </c>
      <c r="F8" s="352"/>
      <c r="G8" s="352"/>
      <c r="H8" s="352"/>
      <c r="I8" s="352"/>
    </row>
    <row r="9" spans="1:27" ht="390.6" customHeight="1" x14ac:dyDescent="0.25">
      <c r="A9" s="3" t="s">
        <v>803</v>
      </c>
      <c r="B9" s="223" t="s">
        <v>799</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975237</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658</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956E-7242-4F4E-9E0E-61655D7B7BC2}">
  <sheetPr>
    <tabColor rgb="FF00B050"/>
    <pageSetUpPr fitToPage="1"/>
  </sheetPr>
  <dimension ref="A1:AA58"/>
  <sheetViews>
    <sheetView topLeftCell="A3" zoomScale="80" zoomScaleNormal="80" workbookViewId="0">
      <selection activeCell="C37" sqref="C37"/>
    </sheetView>
  </sheetViews>
  <sheetFormatPr defaultRowHeight="15" x14ac:dyDescent="0.25"/>
  <cols>
    <col min="1" max="1" width="63.7109375" customWidth="1"/>
    <col min="2" max="2" width="73.42578125" customWidth="1"/>
    <col min="3" max="3" width="44.42578125" style="1" customWidth="1"/>
    <col min="5" max="5" width="8.85546875" style="20"/>
    <col min="6" max="6" width="14.42578125" style="20" customWidth="1"/>
    <col min="7" max="7" width="15.42578125" style="20" customWidth="1"/>
    <col min="8" max="8" width="18" style="20" customWidth="1"/>
    <col min="9" max="9" width="15.7109375" customWidth="1"/>
    <col min="16" max="16" width="11.42578125" style="121" customWidth="1"/>
  </cols>
  <sheetData>
    <row r="1" spans="1:27" ht="62.25" customHeight="1" x14ac:dyDescent="0.3">
      <c r="A1" s="114" t="s">
        <v>800</v>
      </c>
      <c r="B1" s="45"/>
      <c r="D1" s="347" t="s">
        <v>648</v>
      </c>
      <c r="E1" s="348"/>
      <c r="F1" s="348"/>
      <c r="G1" s="348"/>
      <c r="H1" s="349"/>
    </row>
    <row r="2" spans="1:27" x14ac:dyDescent="0.25">
      <c r="A2" s="272" t="s">
        <v>796</v>
      </c>
    </row>
    <row r="3" spans="1:27" ht="15" customHeight="1" x14ac:dyDescent="0.25">
      <c r="A3" s="2" t="s">
        <v>8</v>
      </c>
      <c r="B3" s="2"/>
    </row>
    <row r="4" spans="1:27" ht="15" customHeight="1" x14ac:dyDescent="0.25">
      <c r="A4" s="9" t="s">
        <v>9</v>
      </c>
      <c r="B4" s="9"/>
    </row>
    <row r="5" spans="1:27" x14ac:dyDescent="0.25">
      <c r="C5" s="1" t="s">
        <v>31</v>
      </c>
    </row>
    <row r="6" spans="1:27" x14ac:dyDescent="0.25">
      <c r="A6" s="350" t="s">
        <v>10</v>
      </c>
      <c r="B6" s="351"/>
    </row>
    <row r="7" spans="1:27" ht="21" customHeight="1" x14ac:dyDescent="0.25">
      <c r="A7" s="3" t="s">
        <v>0</v>
      </c>
      <c r="B7" s="3" t="s">
        <v>805</v>
      </c>
    </row>
    <row r="8" spans="1:27" ht="176.45" customHeight="1" x14ac:dyDescent="0.25">
      <c r="A8" s="3" t="s">
        <v>238</v>
      </c>
      <c r="B8" s="223" t="s">
        <v>801</v>
      </c>
      <c r="E8" s="352" t="s">
        <v>100</v>
      </c>
      <c r="F8" s="352"/>
      <c r="G8" s="352"/>
      <c r="H8" s="352"/>
      <c r="I8" s="352"/>
    </row>
    <row r="9" spans="1:27" ht="204.6" customHeight="1" x14ac:dyDescent="0.25">
      <c r="A9" s="3" t="s">
        <v>804</v>
      </c>
      <c r="B9" s="223" t="s">
        <v>802</v>
      </c>
      <c r="E9" s="176"/>
      <c r="F9" s="176"/>
      <c r="G9" s="176"/>
      <c r="H9" s="176"/>
      <c r="I9" s="176"/>
    </row>
    <row r="10" spans="1:27" ht="15.75" thickBot="1" x14ac:dyDescent="0.3">
      <c r="A10" s="3" t="s">
        <v>1</v>
      </c>
      <c r="B10" s="3" t="s">
        <v>798</v>
      </c>
      <c r="C10" s="1" t="s">
        <v>48</v>
      </c>
      <c r="E10" s="353" t="s">
        <v>53</v>
      </c>
      <c r="F10" s="354"/>
      <c r="G10" s="354"/>
      <c r="H10" s="355"/>
      <c r="I10" s="213" t="s">
        <v>517</v>
      </c>
      <c r="J10" t="s">
        <v>74</v>
      </c>
      <c r="P10" s="36" t="s">
        <v>76</v>
      </c>
      <c r="Q10" s="36"/>
      <c r="R10" s="36"/>
      <c r="S10" s="36"/>
      <c r="T10" s="36"/>
      <c r="U10" s="36"/>
      <c r="V10" s="36"/>
      <c r="W10" s="36"/>
      <c r="X10" s="36"/>
      <c r="Y10" s="36"/>
      <c r="Z10" s="36"/>
      <c r="AA10" s="36"/>
    </row>
    <row r="11" spans="1:27" ht="48" customHeight="1" thickBot="1" x14ac:dyDescent="0.3">
      <c r="A11" s="3" t="s">
        <v>4</v>
      </c>
      <c r="B11" s="3" t="s">
        <v>134</v>
      </c>
      <c r="C11" s="1" t="s">
        <v>3</v>
      </c>
      <c r="E11" s="30" t="s">
        <v>75</v>
      </c>
      <c r="F11" s="31" t="s">
        <v>147</v>
      </c>
      <c r="G11" s="31" t="s">
        <v>146</v>
      </c>
      <c r="H11" s="31" t="s">
        <v>90</v>
      </c>
      <c r="I11" s="31" t="s">
        <v>144</v>
      </c>
      <c r="J11" s="344" t="s">
        <v>92</v>
      </c>
      <c r="K11" s="345"/>
      <c r="L11" s="345"/>
      <c r="M11" s="345"/>
      <c r="N11" s="345"/>
      <c r="P11" s="36" t="s">
        <v>77</v>
      </c>
      <c r="Q11" s="41">
        <v>0.9</v>
      </c>
      <c r="R11" s="39">
        <v>0.8</v>
      </c>
      <c r="S11" s="39">
        <v>0.7</v>
      </c>
      <c r="T11" s="40">
        <v>0.6</v>
      </c>
      <c r="U11" s="41">
        <v>0.5</v>
      </c>
      <c r="V11" s="39">
        <v>0.4</v>
      </c>
      <c r="W11" s="39">
        <v>0.3</v>
      </c>
      <c r="X11" s="39">
        <v>0.2</v>
      </c>
      <c r="Y11" s="39">
        <v>0.1</v>
      </c>
      <c r="Z11" s="39">
        <v>0.05</v>
      </c>
      <c r="AA11" s="38">
        <v>18537</v>
      </c>
    </row>
    <row r="12" spans="1:27" ht="19.5" customHeight="1" x14ac:dyDescent="0.25">
      <c r="A12" s="7" t="s">
        <v>49</v>
      </c>
      <c r="B12" s="7" t="s">
        <v>134</v>
      </c>
      <c r="E12" s="26">
        <v>2012</v>
      </c>
      <c r="F12" s="26"/>
      <c r="G12" s="26"/>
      <c r="H12" s="26"/>
      <c r="I12" s="3"/>
      <c r="J12" s="344"/>
      <c r="K12" s="345"/>
      <c r="L12" s="345"/>
      <c r="M12" s="345"/>
      <c r="N12" s="345"/>
      <c r="P12" s="36">
        <v>2011</v>
      </c>
      <c r="Q12" s="36">
        <v>1030</v>
      </c>
      <c r="R12" s="36">
        <v>1035</v>
      </c>
      <c r="S12" s="36">
        <v>1040</v>
      </c>
      <c r="T12" s="36">
        <v>1050</v>
      </c>
      <c r="U12" s="36">
        <v>1070</v>
      </c>
      <c r="V12" s="36">
        <v>1075</v>
      </c>
      <c r="W12" s="36">
        <v>1090</v>
      </c>
      <c r="X12" s="36">
        <v>1095</v>
      </c>
      <c r="Y12" s="36">
        <v>1110</v>
      </c>
      <c r="Z12" s="36">
        <v>1110</v>
      </c>
      <c r="AA12" s="36">
        <v>1.0373829999999999</v>
      </c>
    </row>
    <row r="13" spans="1:27" ht="15" customHeight="1" x14ac:dyDescent="0.25">
      <c r="A13" s="7" t="s">
        <v>50</v>
      </c>
      <c r="B13" s="7" t="s">
        <v>134</v>
      </c>
      <c r="E13" s="26">
        <v>2013</v>
      </c>
      <c r="F13" s="26"/>
      <c r="G13" s="26"/>
      <c r="H13" s="26"/>
      <c r="I13" s="3"/>
      <c r="J13" s="344" t="s">
        <v>91</v>
      </c>
      <c r="K13" s="345"/>
      <c r="L13" s="345"/>
      <c r="M13" s="345"/>
      <c r="N13" s="345"/>
      <c r="P13" s="36">
        <v>2012</v>
      </c>
      <c r="Q13" s="36">
        <v>1050</v>
      </c>
      <c r="R13" s="36">
        <v>1055</v>
      </c>
      <c r="S13" s="36">
        <v>1060</v>
      </c>
      <c r="T13" s="36">
        <v>1070</v>
      </c>
      <c r="U13" s="36">
        <v>1090</v>
      </c>
      <c r="V13" s="36">
        <v>1095</v>
      </c>
      <c r="W13" s="36">
        <v>1115</v>
      </c>
      <c r="X13" s="36">
        <v>1120</v>
      </c>
      <c r="Y13" s="36">
        <v>1125</v>
      </c>
      <c r="Z13" s="36">
        <v>1135</v>
      </c>
      <c r="AA13" s="36">
        <v>1.0321100000000001</v>
      </c>
    </row>
    <row r="14" spans="1:27" x14ac:dyDescent="0.25">
      <c r="A14" s="7" t="s">
        <v>51</v>
      </c>
      <c r="B14" s="7"/>
      <c r="C14" s="1" t="s">
        <v>52</v>
      </c>
      <c r="E14" s="26">
        <v>2014</v>
      </c>
      <c r="F14" s="26"/>
      <c r="G14" s="26"/>
      <c r="H14" s="26"/>
      <c r="I14" s="3"/>
      <c r="J14" s="344"/>
      <c r="K14" s="345"/>
      <c r="L14" s="345"/>
      <c r="M14" s="345"/>
      <c r="N14" s="345"/>
      <c r="P14" s="36">
        <v>2013</v>
      </c>
      <c r="Q14" s="36">
        <v>1065</v>
      </c>
      <c r="R14" s="36">
        <v>1070</v>
      </c>
      <c r="S14" s="36">
        <v>1075</v>
      </c>
      <c r="T14" s="36">
        <v>1085</v>
      </c>
      <c r="U14" s="36">
        <v>1105</v>
      </c>
      <c r="V14" s="36">
        <v>1110</v>
      </c>
      <c r="W14" s="36">
        <v>1130</v>
      </c>
      <c r="X14" s="36">
        <v>1135</v>
      </c>
      <c r="Y14" s="36">
        <v>1150</v>
      </c>
      <c r="Z14" s="36">
        <v>1150</v>
      </c>
      <c r="AA14" s="36">
        <v>1.040724</v>
      </c>
    </row>
    <row r="15" spans="1:27" ht="21.75" customHeight="1" x14ac:dyDescent="0.25">
      <c r="A15" s="7" t="s">
        <v>53</v>
      </c>
      <c r="B15" s="18"/>
      <c r="E15" s="26">
        <v>2015</v>
      </c>
      <c r="F15" s="26"/>
      <c r="G15" s="26"/>
      <c r="H15" s="26"/>
      <c r="I15" s="3"/>
      <c r="J15" s="344"/>
      <c r="K15" s="345"/>
      <c r="L15" s="345"/>
      <c r="M15" s="345"/>
      <c r="N15" s="345"/>
      <c r="P15" s="36">
        <v>2014</v>
      </c>
      <c r="Q15" s="36">
        <v>1080</v>
      </c>
      <c r="R15" s="36">
        <v>1085</v>
      </c>
      <c r="S15" s="36">
        <v>1090</v>
      </c>
      <c r="T15" s="36">
        <v>1100</v>
      </c>
      <c r="U15" s="36">
        <v>1120</v>
      </c>
      <c r="V15" s="36">
        <v>1125</v>
      </c>
      <c r="W15" s="36">
        <v>1145</v>
      </c>
      <c r="X15" s="36">
        <v>1150</v>
      </c>
      <c r="Y15" s="36">
        <v>1165</v>
      </c>
      <c r="Z15" s="36">
        <v>1170</v>
      </c>
      <c r="AA15" s="36">
        <v>1.040179</v>
      </c>
    </row>
    <row r="16" spans="1:27" x14ac:dyDescent="0.25">
      <c r="A16" s="206" t="s">
        <v>41</v>
      </c>
      <c r="B16" s="364" t="s">
        <v>97</v>
      </c>
      <c r="E16" s="26">
        <v>2016</v>
      </c>
      <c r="F16" s="26"/>
      <c r="G16" s="26"/>
      <c r="H16" s="26"/>
      <c r="I16" s="3"/>
      <c r="J16" s="344"/>
      <c r="K16" s="345"/>
      <c r="L16" s="345"/>
      <c r="M16" s="345"/>
      <c r="N16" s="345"/>
      <c r="P16" s="36">
        <v>2015</v>
      </c>
      <c r="Q16" s="36">
        <v>1095</v>
      </c>
      <c r="R16" s="36">
        <v>1100</v>
      </c>
      <c r="S16" s="36">
        <v>1105</v>
      </c>
      <c r="T16" s="36">
        <v>1115</v>
      </c>
      <c r="U16" s="36">
        <v>1135</v>
      </c>
      <c r="V16" s="36">
        <v>1140</v>
      </c>
      <c r="W16" s="36">
        <v>1160</v>
      </c>
      <c r="X16" s="36">
        <v>1165</v>
      </c>
      <c r="Y16" s="36">
        <v>1170</v>
      </c>
      <c r="Z16" s="36">
        <v>1180</v>
      </c>
      <c r="AA16" s="36">
        <v>1.030837</v>
      </c>
    </row>
    <row r="17" spans="1:27" ht="60.75" customHeight="1" x14ac:dyDescent="0.25">
      <c r="A17" s="206" t="s">
        <v>7</v>
      </c>
      <c r="B17" s="365"/>
      <c r="C17" s="1" t="s">
        <v>21</v>
      </c>
      <c r="E17" s="26">
        <v>2017</v>
      </c>
      <c r="F17" s="26"/>
      <c r="G17" s="26"/>
      <c r="H17" s="26"/>
      <c r="I17" s="3"/>
      <c r="J17" s="356"/>
      <c r="K17" s="357"/>
      <c r="L17" s="357"/>
      <c r="M17" s="357"/>
      <c r="N17" s="357"/>
      <c r="P17" s="36">
        <v>2016</v>
      </c>
      <c r="Q17" s="36">
        <v>1105</v>
      </c>
      <c r="R17" s="36">
        <v>1110</v>
      </c>
      <c r="S17" s="36">
        <v>1115</v>
      </c>
      <c r="T17" s="36">
        <v>1125</v>
      </c>
      <c r="U17" s="36">
        <v>1145</v>
      </c>
      <c r="V17" s="36">
        <v>1150</v>
      </c>
      <c r="W17" s="36">
        <v>1170</v>
      </c>
      <c r="X17" s="36">
        <v>1175</v>
      </c>
      <c r="Y17" s="36">
        <v>1190</v>
      </c>
      <c r="Z17" s="36">
        <v>1195</v>
      </c>
      <c r="AA17" s="36">
        <v>1.039301</v>
      </c>
    </row>
    <row r="18" spans="1:27" x14ac:dyDescent="0.25">
      <c r="A18" s="81" t="s">
        <v>72</v>
      </c>
      <c r="B18" s="81"/>
      <c r="C18" s="1" t="s">
        <v>73</v>
      </c>
      <c r="E18" s="26">
        <v>2018</v>
      </c>
      <c r="F18" s="26"/>
      <c r="G18" s="26"/>
      <c r="H18" s="26"/>
      <c r="I18" s="3"/>
      <c r="J18" s="27" t="s">
        <v>89</v>
      </c>
      <c r="K18" s="28"/>
      <c r="L18" s="28"/>
      <c r="M18" s="28"/>
      <c r="N18" s="29"/>
      <c r="P18" s="36">
        <v>2017</v>
      </c>
      <c r="Q18" s="36">
        <v>1115</v>
      </c>
      <c r="R18" s="36">
        <v>1120</v>
      </c>
      <c r="S18" s="36">
        <v>1125</v>
      </c>
      <c r="T18" s="36">
        <v>1135</v>
      </c>
      <c r="U18" s="36">
        <v>1155</v>
      </c>
      <c r="V18" s="36">
        <v>1160</v>
      </c>
      <c r="W18" s="36">
        <v>1180</v>
      </c>
      <c r="X18" s="36">
        <v>1185</v>
      </c>
      <c r="Y18" s="36">
        <v>1195</v>
      </c>
      <c r="Z18" s="36">
        <v>1205</v>
      </c>
      <c r="AA18" s="36">
        <v>1.034632</v>
      </c>
    </row>
    <row r="19" spans="1:27" x14ac:dyDescent="0.25">
      <c r="A19" s="81" t="s">
        <v>68</v>
      </c>
      <c r="B19" s="82"/>
      <c r="C19" s="1" t="s">
        <v>69</v>
      </c>
      <c r="E19" s="26">
        <v>2019</v>
      </c>
      <c r="F19" s="26"/>
      <c r="G19" s="26"/>
      <c r="H19" s="26"/>
      <c r="I19" s="3"/>
      <c r="J19" s="335"/>
      <c r="K19" s="336"/>
      <c r="L19" s="336"/>
      <c r="M19" s="336"/>
      <c r="N19" s="337"/>
      <c r="P19" s="36">
        <v>2018</v>
      </c>
      <c r="Q19" s="36">
        <v>1125</v>
      </c>
      <c r="R19" s="36">
        <v>1130</v>
      </c>
      <c r="S19" s="36">
        <v>1140</v>
      </c>
      <c r="T19" s="36">
        <v>1150</v>
      </c>
      <c r="U19" s="36">
        <v>1170</v>
      </c>
      <c r="V19" s="36">
        <v>1175</v>
      </c>
      <c r="W19" s="36">
        <v>1195</v>
      </c>
      <c r="X19" s="36">
        <v>1200</v>
      </c>
      <c r="Y19" s="36">
        <v>1215</v>
      </c>
      <c r="Z19" s="36">
        <v>1215</v>
      </c>
      <c r="AA19" s="36">
        <v>1.038462</v>
      </c>
    </row>
    <row r="20" spans="1:27" ht="21" customHeight="1" x14ac:dyDescent="0.25">
      <c r="A20" s="81" t="s">
        <v>67</v>
      </c>
      <c r="B20" s="81"/>
      <c r="C20" s="1" t="s">
        <v>70</v>
      </c>
      <c r="E20" s="26">
        <v>2020</v>
      </c>
      <c r="F20" s="26"/>
      <c r="G20" s="26"/>
      <c r="H20" s="26"/>
      <c r="I20" s="3"/>
      <c r="J20" s="338"/>
      <c r="K20" s="339"/>
      <c r="L20" s="339"/>
      <c r="M20" s="339"/>
      <c r="N20" s="340"/>
      <c r="P20" s="36">
        <v>2019</v>
      </c>
      <c r="Q20" s="36">
        <v>1135</v>
      </c>
      <c r="R20" s="36">
        <v>1140</v>
      </c>
      <c r="S20" s="36">
        <v>1150</v>
      </c>
      <c r="T20" s="36">
        <v>1160</v>
      </c>
      <c r="U20" s="36">
        <v>1180</v>
      </c>
      <c r="V20" s="36">
        <v>1185</v>
      </c>
      <c r="W20" s="36">
        <v>1205</v>
      </c>
      <c r="X20" s="36">
        <v>1210</v>
      </c>
      <c r="Y20" s="36">
        <v>1225</v>
      </c>
      <c r="Z20" s="36">
        <v>1230</v>
      </c>
      <c r="AA20" s="36">
        <v>1.0381359999999999</v>
      </c>
    </row>
    <row r="21" spans="1:27" ht="48.75" customHeight="1" x14ac:dyDescent="0.25">
      <c r="A21" s="3" t="s">
        <v>98</v>
      </c>
      <c r="B21" s="210" t="s">
        <v>99</v>
      </c>
      <c r="C21" s="1" t="s">
        <v>58</v>
      </c>
      <c r="E21" s="26">
        <v>2021</v>
      </c>
      <c r="F21" s="26"/>
      <c r="G21" s="26"/>
      <c r="H21" s="26"/>
      <c r="I21" s="3"/>
      <c r="J21" s="341"/>
      <c r="K21" s="342"/>
      <c r="L21" s="342"/>
      <c r="M21" s="342"/>
      <c r="N21" s="343"/>
      <c r="P21" s="36">
        <v>2020</v>
      </c>
      <c r="Q21" s="36">
        <v>1145</v>
      </c>
      <c r="R21" s="36">
        <v>1150</v>
      </c>
      <c r="S21" s="36">
        <v>1155</v>
      </c>
      <c r="T21" s="36">
        <v>1170</v>
      </c>
      <c r="U21" s="36">
        <v>1190</v>
      </c>
      <c r="V21" s="36">
        <v>1195</v>
      </c>
      <c r="W21" s="36">
        <v>1215</v>
      </c>
      <c r="X21" s="36">
        <v>1225</v>
      </c>
      <c r="Y21" s="36">
        <v>1235</v>
      </c>
      <c r="Z21" s="36">
        <v>1240</v>
      </c>
      <c r="AA21" s="36">
        <v>1.0378149999999999</v>
      </c>
    </row>
    <row r="22" spans="1:27" x14ac:dyDescent="0.25">
      <c r="A22" s="3" t="s">
        <v>5</v>
      </c>
      <c r="B22" s="91">
        <v>348470</v>
      </c>
      <c r="C22" s="1" t="s">
        <v>6</v>
      </c>
      <c r="E22" s="26">
        <v>2022</v>
      </c>
      <c r="F22" s="26"/>
      <c r="G22" s="26"/>
      <c r="H22" s="26"/>
      <c r="I22" s="3"/>
      <c r="P22" s="36" t="s">
        <v>78</v>
      </c>
      <c r="Q22" s="36"/>
      <c r="R22" s="36"/>
      <c r="S22" s="36"/>
      <c r="T22" s="36"/>
      <c r="U22" s="36"/>
      <c r="V22" s="36"/>
      <c r="W22" s="36"/>
      <c r="X22" s="36"/>
      <c r="Y22" s="36"/>
      <c r="Z22" s="36"/>
      <c r="AA22" s="36"/>
    </row>
    <row r="23" spans="1:27" ht="34.5" customHeight="1" x14ac:dyDescent="0.25">
      <c r="A23" s="3" t="s">
        <v>55</v>
      </c>
      <c r="B23" s="17" t="s">
        <v>658</v>
      </c>
      <c r="C23" s="1" t="s">
        <v>54</v>
      </c>
      <c r="E23" s="26">
        <v>2023</v>
      </c>
      <c r="F23" s="26"/>
      <c r="G23" s="26"/>
      <c r="H23" s="26"/>
      <c r="I23" s="3"/>
      <c r="J23" s="344" t="s">
        <v>96</v>
      </c>
      <c r="K23" s="345"/>
      <c r="L23" s="345"/>
      <c r="M23" s="345"/>
      <c r="N23" s="345"/>
      <c r="P23" s="36" t="s">
        <v>79</v>
      </c>
      <c r="Q23" s="36">
        <v>1030</v>
      </c>
      <c r="R23" s="36">
        <v>1035</v>
      </c>
      <c r="S23" s="36">
        <v>1035</v>
      </c>
      <c r="T23" s="36">
        <v>1035</v>
      </c>
      <c r="U23" s="36">
        <v>1045</v>
      </c>
      <c r="V23" s="36">
        <v>1050</v>
      </c>
      <c r="W23" s="36">
        <v>1055</v>
      </c>
      <c r="X23" s="36">
        <v>1055</v>
      </c>
      <c r="Y23" s="36">
        <v>1060</v>
      </c>
      <c r="Z23" s="36">
        <v>1070</v>
      </c>
      <c r="AA23" s="36">
        <v>1.014354</v>
      </c>
    </row>
    <row r="24" spans="1:27" ht="30.75" customHeight="1" x14ac:dyDescent="0.25">
      <c r="A24" s="3" t="s">
        <v>56</v>
      </c>
      <c r="B24" s="16"/>
      <c r="C24" s="1" t="s">
        <v>57</v>
      </c>
      <c r="E24" s="26">
        <v>2024</v>
      </c>
      <c r="F24" s="26"/>
      <c r="G24" s="26"/>
      <c r="H24" s="26"/>
      <c r="I24" s="3"/>
      <c r="J24" s="344"/>
      <c r="K24" s="345"/>
      <c r="L24" s="345"/>
      <c r="M24" s="345"/>
      <c r="N24" s="345"/>
      <c r="P24" s="36" t="s">
        <v>80</v>
      </c>
      <c r="Q24" s="36">
        <v>1040</v>
      </c>
      <c r="R24" s="36">
        <v>1045</v>
      </c>
      <c r="S24" s="36">
        <v>1045</v>
      </c>
      <c r="T24" s="36">
        <v>1045</v>
      </c>
      <c r="U24" s="36">
        <v>1055</v>
      </c>
      <c r="V24" s="36">
        <v>1060</v>
      </c>
      <c r="W24" s="36">
        <v>1065</v>
      </c>
      <c r="X24" s="36">
        <v>1065</v>
      </c>
      <c r="Y24" s="36">
        <v>1070</v>
      </c>
      <c r="Z24" s="36">
        <v>1080</v>
      </c>
      <c r="AA24" s="36">
        <v>1.0142180000000001</v>
      </c>
    </row>
    <row r="25" spans="1:27" x14ac:dyDescent="0.25">
      <c r="A25" s="12"/>
      <c r="B25" s="13"/>
      <c r="E25" s="26">
        <v>2025</v>
      </c>
      <c r="F25" s="26"/>
      <c r="G25" s="26"/>
      <c r="H25" s="26"/>
      <c r="I25" s="3"/>
      <c r="J25" s="344"/>
      <c r="K25" s="345"/>
      <c r="L25" s="345"/>
      <c r="M25" s="345"/>
      <c r="N25" s="345"/>
      <c r="P25" s="36" t="s">
        <v>81</v>
      </c>
      <c r="Q25" s="36">
        <v>1050</v>
      </c>
      <c r="R25" s="36">
        <v>1055</v>
      </c>
      <c r="S25" s="36">
        <v>1055</v>
      </c>
      <c r="T25" s="36">
        <v>1055</v>
      </c>
      <c r="U25" s="36">
        <v>1065</v>
      </c>
      <c r="V25" s="36">
        <v>1070</v>
      </c>
      <c r="W25" s="36">
        <v>1075</v>
      </c>
      <c r="X25" s="36">
        <v>1075</v>
      </c>
      <c r="Y25" s="36">
        <v>1080</v>
      </c>
      <c r="Z25" s="36">
        <v>1095</v>
      </c>
      <c r="AA25" s="36">
        <v>1.0140849999999999</v>
      </c>
    </row>
    <row r="26" spans="1:27" x14ac:dyDescent="0.25">
      <c r="A26" s="346" t="s">
        <v>71</v>
      </c>
      <c r="B26" s="346"/>
      <c r="E26" s="26">
        <v>2026</v>
      </c>
      <c r="F26" s="26"/>
      <c r="G26" s="26"/>
      <c r="H26" s="26"/>
      <c r="I26" s="3"/>
      <c r="P26" s="36" t="s">
        <v>82</v>
      </c>
      <c r="Q26" s="36">
        <v>1055</v>
      </c>
      <c r="R26" s="36">
        <v>1060</v>
      </c>
      <c r="S26" s="36">
        <v>1060</v>
      </c>
      <c r="T26" s="36">
        <v>1060</v>
      </c>
      <c r="U26" s="36">
        <v>1070</v>
      </c>
      <c r="V26" s="36">
        <v>1075</v>
      </c>
      <c r="W26" s="36">
        <v>1080</v>
      </c>
      <c r="X26" s="36">
        <v>1080</v>
      </c>
      <c r="Y26" s="36">
        <v>1085</v>
      </c>
      <c r="Z26" s="36">
        <v>1095</v>
      </c>
      <c r="AA26" s="36">
        <v>1.014019</v>
      </c>
    </row>
    <row r="27" spans="1:27" x14ac:dyDescent="0.25">
      <c r="A27" s="3" t="s">
        <v>28</v>
      </c>
      <c r="B27" s="3"/>
      <c r="E27" s="26">
        <v>2027</v>
      </c>
      <c r="F27" s="26"/>
      <c r="G27" s="26"/>
      <c r="H27" s="26"/>
      <c r="I27" s="3"/>
      <c r="P27" s="36" t="s">
        <v>83</v>
      </c>
      <c r="Q27" s="36">
        <v>1060</v>
      </c>
      <c r="R27" s="36">
        <v>1065</v>
      </c>
      <c r="S27" s="36">
        <v>1065</v>
      </c>
      <c r="T27" s="36">
        <v>1065</v>
      </c>
      <c r="U27" s="36">
        <v>1075</v>
      </c>
      <c r="V27" s="36">
        <v>1080</v>
      </c>
      <c r="W27" s="36">
        <v>1085</v>
      </c>
      <c r="X27" s="36">
        <v>1085</v>
      </c>
      <c r="Y27" s="36">
        <v>1090</v>
      </c>
      <c r="Z27" s="36">
        <v>1110</v>
      </c>
      <c r="AA27" s="36">
        <v>1.0139530000000001</v>
      </c>
    </row>
    <row r="28" spans="1:27" x14ac:dyDescent="0.25">
      <c r="A28" s="3" t="s">
        <v>29</v>
      </c>
      <c r="B28" s="3"/>
      <c r="E28" s="26">
        <v>2028</v>
      </c>
      <c r="F28" s="26"/>
      <c r="G28" s="26"/>
      <c r="H28" s="26"/>
      <c r="I28" s="3"/>
      <c r="P28" s="36" t="s">
        <v>84</v>
      </c>
      <c r="Q28" s="36">
        <v>1065</v>
      </c>
      <c r="R28" s="36">
        <v>1070</v>
      </c>
      <c r="S28" s="36">
        <v>1070</v>
      </c>
      <c r="T28" s="36">
        <v>1070</v>
      </c>
      <c r="U28" s="36">
        <v>1080</v>
      </c>
      <c r="V28" s="36">
        <v>1085</v>
      </c>
      <c r="W28" s="36">
        <v>1090</v>
      </c>
      <c r="X28" s="36">
        <v>1090</v>
      </c>
      <c r="Y28" s="36">
        <v>1100</v>
      </c>
      <c r="Z28" s="36">
        <v>1110</v>
      </c>
      <c r="AA28" s="36">
        <v>1.018519</v>
      </c>
    </row>
    <row r="29" spans="1:27" ht="39.75" customHeight="1" x14ac:dyDescent="0.25">
      <c r="A29" s="3" t="s">
        <v>30</v>
      </c>
      <c r="B29" s="17"/>
      <c r="C29" s="1" t="s">
        <v>43</v>
      </c>
      <c r="E29" s="26">
        <v>2029</v>
      </c>
      <c r="F29" s="26"/>
      <c r="G29" s="26"/>
      <c r="H29" s="26"/>
      <c r="I29" s="3"/>
      <c r="P29" s="36" t="s">
        <v>85</v>
      </c>
      <c r="Q29" s="36">
        <v>1075</v>
      </c>
      <c r="R29" s="36">
        <v>1080</v>
      </c>
      <c r="S29" s="36">
        <v>1080</v>
      </c>
      <c r="T29" s="36">
        <v>1080</v>
      </c>
      <c r="U29" s="36">
        <v>1090</v>
      </c>
      <c r="V29" s="36">
        <v>1095</v>
      </c>
      <c r="W29" s="36">
        <v>1100</v>
      </c>
      <c r="X29" s="36">
        <v>1100</v>
      </c>
      <c r="Y29" s="36">
        <v>1105</v>
      </c>
      <c r="Z29" s="36">
        <v>1120</v>
      </c>
      <c r="AA29" s="36">
        <v>1.0137609999999999</v>
      </c>
    </row>
    <row r="30" spans="1:27" x14ac:dyDescent="0.25">
      <c r="A30" s="3" t="s">
        <v>44</v>
      </c>
      <c r="B30" s="3"/>
      <c r="E30" s="26">
        <v>2030</v>
      </c>
      <c r="F30" s="26"/>
      <c r="G30" s="26"/>
      <c r="H30" s="26"/>
      <c r="I30" s="3"/>
      <c r="P30" s="36" t="s">
        <v>86</v>
      </c>
      <c r="Q30" s="36">
        <v>1080</v>
      </c>
      <c r="R30" s="36">
        <v>1085</v>
      </c>
      <c r="S30" s="36">
        <v>1085</v>
      </c>
      <c r="T30" s="36">
        <v>1085</v>
      </c>
      <c r="U30" s="36">
        <v>1095</v>
      </c>
      <c r="V30" s="36">
        <v>1100</v>
      </c>
      <c r="W30" s="36">
        <v>1105</v>
      </c>
      <c r="X30" s="36">
        <v>1105</v>
      </c>
      <c r="Y30" s="36">
        <v>1110</v>
      </c>
      <c r="Z30" s="36">
        <v>1120</v>
      </c>
      <c r="AA30" s="36">
        <v>1.0136989999999999</v>
      </c>
    </row>
    <row r="31" spans="1:27" x14ac:dyDescent="0.25">
      <c r="A31" s="3" t="s">
        <v>47</v>
      </c>
      <c r="B31" s="3"/>
      <c r="E31" s="26">
        <v>2031</v>
      </c>
      <c r="F31" s="26"/>
      <c r="G31" s="26"/>
      <c r="H31" s="26"/>
      <c r="I31" s="3"/>
      <c r="P31" s="36" t="s">
        <v>87</v>
      </c>
      <c r="Q31" s="36">
        <v>1085</v>
      </c>
      <c r="R31" s="36">
        <v>1090</v>
      </c>
      <c r="S31" s="36">
        <v>1090</v>
      </c>
      <c r="T31" s="36">
        <v>1090</v>
      </c>
      <c r="U31" s="36">
        <v>1100</v>
      </c>
      <c r="V31" s="36">
        <v>1105</v>
      </c>
      <c r="W31" s="36">
        <v>1110</v>
      </c>
      <c r="X31" s="36">
        <v>1110</v>
      </c>
      <c r="Y31" s="36">
        <v>1115</v>
      </c>
      <c r="Z31" s="36">
        <v>1125</v>
      </c>
      <c r="AA31" s="36">
        <v>1.013636</v>
      </c>
    </row>
    <row r="32" spans="1:27" x14ac:dyDescent="0.25">
      <c r="A32" s="3" t="s">
        <v>45</v>
      </c>
      <c r="B32" s="3"/>
      <c r="P32" s="36" t="s">
        <v>88</v>
      </c>
      <c r="Q32" s="36">
        <v>1090</v>
      </c>
      <c r="R32" s="36">
        <v>1095</v>
      </c>
      <c r="S32" s="36">
        <v>1095</v>
      </c>
      <c r="T32" s="36">
        <v>1095</v>
      </c>
      <c r="U32" s="36">
        <v>1105</v>
      </c>
      <c r="V32" s="36">
        <v>1110</v>
      </c>
      <c r="W32" s="36">
        <v>1115</v>
      </c>
      <c r="X32" s="36">
        <v>1115</v>
      </c>
      <c r="Y32" s="36">
        <v>1120</v>
      </c>
      <c r="Z32" s="36">
        <v>1130</v>
      </c>
      <c r="AA32" s="36">
        <v>1.0135749999999999</v>
      </c>
    </row>
    <row r="33" spans="1:2" x14ac:dyDescent="0.25">
      <c r="A33" s="3" t="s">
        <v>46</v>
      </c>
      <c r="B33" s="3"/>
    </row>
    <row r="34" spans="1:2" ht="16.5" customHeight="1" x14ac:dyDescent="0.25">
      <c r="A34" s="84"/>
    </row>
    <row r="57" customFormat="1" x14ac:dyDescent="0.25"/>
    <row r="58" customFormat="1" x14ac:dyDescent="0.25"/>
  </sheetData>
  <mergeCells count="10">
    <mergeCell ref="J19:N21"/>
    <mergeCell ref="J23:N25"/>
    <mergeCell ref="A26:B26"/>
    <mergeCell ref="D1:H1"/>
    <mergeCell ref="A6:B6"/>
    <mergeCell ref="E8:I8"/>
    <mergeCell ref="E10:H10"/>
    <mergeCell ref="J11:N12"/>
    <mergeCell ref="J13:N17"/>
    <mergeCell ref="B16:B17"/>
  </mergeCells>
  <pageMargins left="0.7" right="0.7" top="0.75" bottom="0.75" header="0.3" footer="0.3"/>
  <pageSetup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42</vt:i4>
      </vt:variant>
    </vt:vector>
  </HeadingPairs>
  <TitlesOfParts>
    <vt:vector size="121" baseType="lpstr">
      <vt:lpstr>New&amp;Updated Projects VSPC 2026 </vt:lpstr>
      <vt:lpstr>Previously Reviewed</vt:lpstr>
      <vt:lpstr>Taftsville</vt:lpstr>
      <vt:lpstr>N. Springfield</vt:lpstr>
      <vt:lpstr>Georgia</vt:lpstr>
      <vt:lpstr>Welden St</vt:lpstr>
      <vt:lpstr>Montpelier #3</vt:lpstr>
      <vt:lpstr>Berlin GT</vt:lpstr>
      <vt:lpstr>Middlesex</vt:lpstr>
      <vt:lpstr>Bolton 41</vt:lpstr>
      <vt:lpstr>East Arlington</vt:lpstr>
      <vt:lpstr>West Dummerston</vt:lpstr>
      <vt:lpstr>North Rutland</vt:lpstr>
      <vt:lpstr>Fairfax</vt:lpstr>
      <vt:lpstr>Killington Area</vt:lpstr>
      <vt:lpstr>Beta Subtation</vt:lpstr>
      <vt:lpstr>Line 60 Reconfig</vt:lpstr>
      <vt:lpstr>Pleasant Street Sub</vt:lpstr>
      <vt:lpstr>Ascutney</vt:lpstr>
      <vt:lpstr>Londonderry</vt:lpstr>
      <vt:lpstr>Legare</vt:lpstr>
      <vt:lpstr>Berlin</vt:lpstr>
      <vt:lpstr>Hinesburg</vt:lpstr>
      <vt:lpstr>Waterford 65J1</vt:lpstr>
      <vt:lpstr>Moretown</vt:lpstr>
      <vt:lpstr>Danby</vt:lpstr>
      <vt:lpstr>Putney Conversion</vt:lpstr>
      <vt:lpstr>Dover Sub</vt:lpstr>
      <vt:lpstr>Newbury Sub</vt:lpstr>
      <vt:lpstr>Carvers Falls Sub</vt:lpstr>
      <vt:lpstr>East Ryegate Tran Sub</vt:lpstr>
      <vt:lpstr>Irasville Tran Sub</vt:lpstr>
      <vt:lpstr>Richmond Tran Sub</vt:lpstr>
      <vt:lpstr>Smithville Cap</vt:lpstr>
      <vt:lpstr>Highbridge Substation</vt:lpstr>
      <vt:lpstr>Tafts-Windsor</vt:lpstr>
      <vt:lpstr>Maple Ave to Charlestown</vt:lpstr>
      <vt:lpstr>Johnson to Lowell</vt:lpstr>
      <vt:lpstr>Tower Line to Sand Road</vt:lpstr>
      <vt:lpstr>Mountain View to Berlin</vt:lpstr>
      <vt:lpstr>Hydeville-Fairhaven</vt:lpstr>
      <vt:lpstr>McNeil-Gorge</vt:lpstr>
      <vt:lpstr>North St. Albans to Sheldon</vt:lpstr>
      <vt:lpstr>Wilder</vt:lpstr>
      <vt:lpstr>Mill Street</vt:lpstr>
      <vt:lpstr>St. Albans</vt:lpstr>
      <vt:lpstr>Milton</vt:lpstr>
      <vt:lpstr>Windsor</vt:lpstr>
      <vt:lpstr>Brattleboro</vt:lpstr>
      <vt:lpstr>Southern Loop</vt:lpstr>
      <vt:lpstr>Chittenden County</vt:lpstr>
      <vt:lpstr>Dover - Haystack</vt:lpstr>
      <vt:lpstr>West Rutland-Castleton</vt:lpstr>
      <vt:lpstr>Castleton</vt:lpstr>
      <vt:lpstr>North Brattleboro</vt:lpstr>
      <vt:lpstr>Lowell</vt:lpstr>
      <vt:lpstr>E St Albans Capacitors</vt:lpstr>
      <vt:lpstr>Airport</vt:lpstr>
      <vt:lpstr>Websterville Sub</vt:lpstr>
      <vt:lpstr>Rutland</vt:lpstr>
      <vt:lpstr>Barre</vt:lpstr>
      <vt:lpstr>Cambridge Sub</vt:lpstr>
      <vt:lpstr>South Poultney</vt:lpstr>
      <vt:lpstr>Bethel Line 107</vt:lpstr>
      <vt:lpstr>Nason-Weldon</vt:lpstr>
      <vt:lpstr>Susie Wilson</vt:lpstr>
      <vt:lpstr>Waterbury</vt:lpstr>
      <vt:lpstr>WRJ</vt:lpstr>
      <vt:lpstr>Winooski 16Y3</vt:lpstr>
      <vt:lpstr>Stratton</vt:lpstr>
      <vt:lpstr>Granite-Wetmore</vt:lpstr>
      <vt:lpstr>South Brattleboro</vt:lpstr>
      <vt:lpstr>Sharon</vt:lpstr>
      <vt:lpstr>Highbridge to Maple</vt:lpstr>
      <vt:lpstr>Misc Data</vt:lpstr>
      <vt:lpstr>Phase 1 Template</vt:lpstr>
      <vt:lpstr>Phase 2 Template</vt:lpstr>
      <vt:lpstr>7081 Screening Form</vt:lpstr>
      <vt:lpstr>DUP Screening Form</vt:lpstr>
      <vt:lpstr>'Previously Reviewed'!_GoBack</vt:lpstr>
      <vt:lpstr>Ascutney!Print_Area</vt:lpstr>
      <vt:lpstr>'Berlin GT'!Print_Area</vt:lpstr>
      <vt:lpstr>'Beta Subtation'!Print_Area</vt:lpstr>
      <vt:lpstr>'Bolton 41'!Print_Area</vt:lpstr>
      <vt:lpstr>Brattleboro!Print_Area</vt:lpstr>
      <vt:lpstr>'Carvers Falls Sub'!Print_Area</vt:lpstr>
      <vt:lpstr>Danby!Print_Area</vt:lpstr>
      <vt:lpstr>'Dover Sub'!Print_Area</vt:lpstr>
      <vt:lpstr>'E St Albans Capacitors'!Print_Area</vt:lpstr>
      <vt:lpstr>'East Arlington'!Print_Area</vt:lpstr>
      <vt:lpstr>'East Ryegate Tran Sub'!Print_Area</vt:lpstr>
      <vt:lpstr>Fairfax!Print_Area</vt:lpstr>
      <vt:lpstr>Georgia!Print_Area</vt:lpstr>
      <vt:lpstr>'Highbridge Substation'!Print_Area</vt:lpstr>
      <vt:lpstr>'Irasville Tran Sub'!Print_Area</vt:lpstr>
      <vt:lpstr>'Johnson to Lowell'!Print_Area</vt:lpstr>
      <vt:lpstr>'Killington Area'!Print_Area</vt:lpstr>
      <vt:lpstr>'Line 60 Reconfig'!Print_Area</vt:lpstr>
      <vt:lpstr>Londonderry!Print_Area</vt:lpstr>
      <vt:lpstr>'Maple Ave to Charlestown'!Print_Area</vt:lpstr>
      <vt:lpstr>Middlesex!Print_Area</vt:lpstr>
      <vt:lpstr>Milton!Print_Area</vt:lpstr>
      <vt:lpstr>'Montpelier #3'!Print_Area</vt:lpstr>
      <vt:lpstr>'Mountain View to Berlin'!Print_Area</vt:lpstr>
      <vt:lpstr>'N. Springfield'!Print_Area</vt:lpstr>
      <vt:lpstr>'New&amp;Updated Projects VSPC 2026 '!Print_Area</vt:lpstr>
      <vt:lpstr>'Newbury Sub'!Print_Area</vt:lpstr>
      <vt:lpstr>'North Rutland'!Print_Area</vt:lpstr>
      <vt:lpstr>'Phase 1 Template'!Print_Area</vt:lpstr>
      <vt:lpstr>'Pleasant Street Sub'!Print_Area</vt:lpstr>
      <vt:lpstr>'Richmond Tran Sub'!Print_Area</vt:lpstr>
      <vt:lpstr>Rutland!Print_Area</vt:lpstr>
      <vt:lpstr>'Smithville Cap'!Print_Area</vt:lpstr>
      <vt:lpstr>'Southern Loop'!Print_Area</vt:lpstr>
      <vt:lpstr>'St. Albans'!Print_Area</vt:lpstr>
      <vt:lpstr>'Susie Wilson'!Print_Area</vt:lpstr>
      <vt:lpstr>Taftsville!Print_Area</vt:lpstr>
      <vt:lpstr>'Tafts-Windsor'!Print_Area</vt:lpstr>
      <vt:lpstr>'Tower Line to Sand Road'!Print_Area</vt:lpstr>
      <vt:lpstr>'Welden St'!Print_Area</vt:lpstr>
      <vt:lpstr>'West Dummerston'!Print_Area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Poor, Walter</dc:creator>
  <cp:lastModifiedBy>Hassan, Kamran</cp:lastModifiedBy>
  <cp:lastPrinted>2018-06-14T18:25:41Z</cp:lastPrinted>
  <dcterms:created xsi:type="dcterms:W3CDTF">2011-06-28T15:41:39Z</dcterms:created>
  <dcterms:modified xsi:type="dcterms:W3CDTF">2026-06-30T15:35:16Z</dcterms:modified>
</cp:coreProperties>
</file>